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727"/>
  <workbookPr/>
  <mc:AlternateContent xmlns:mc="http://schemas.openxmlformats.org/markup-compatibility/2006">
    <mc:Choice Requires="x15">
      <x15ac:absPath xmlns:x15ac="http://schemas.microsoft.com/office/spreadsheetml/2010/11/ac" url="K:\GENERAL\Smartair\Products\01 SMARTEMP\SMARTEMP HSC-AD - [Adjustable Helical Swirl Diffuser]\02 Selection\"/>
    </mc:Choice>
  </mc:AlternateContent>
  <xr:revisionPtr revIDLastSave="0" documentId="13_ncr:1_{DF1BCA17-35E9-48C6-841C-5EC79CC93CBE}" xr6:coauthVersionLast="43" xr6:coauthVersionMax="43" xr10:uidLastSave="{00000000-0000-0000-0000-000000000000}"/>
  <workbookProtection workbookAlgorithmName="SHA-512" workbookHashValue="VdRGTNSvydgriDg29vV4RLlf2kBzxUCEa/wWDuiuuLs0Sfyv+qQo8qO4z1YDamzonYQn6FwztfrBks1YpGeqgA==" workbookSaltValue="6luGOVfnA0acJtXcif34GQ==" workbookSpinCount="100000" lockStructure="1"/>
  <bookViews>
    <workbookView xWindow="-98" yWindow="-98" windowWidth="24496" windowHeight="15796" xr2:uid="{D02C296B-4EB7-4B88-BEFA-8C44C957CC04}"/>
  </bookViews>
  <sheets>
    <sheet name="HSC-AD" sheetId="1" r:id="rId1"/>
    <sheet name="Equations HSC-AD" sheetId="2" state="hidden" r:id="rId2"/>
    <sheet name="Acoustic_Tool" sheetId="7" state="hidden" r:id="rId3"/>
    <sheet name="Charts" sheetId="6" state="hidden" r:id="rId4"/>
    <sheet name="Notes &amp; Drawings" sheetId="4" r:id="rId5"/>
    <sheet name="HSC-AD data diagrams" sheetId="8" state="hidden" r:id="rId6"/>
    <sheet name="HSC-AD data" sheetId="3" state="hidden" r:id="rId7"/>
    <sheet name="Print Summary" sheetId="5" r:id="rId8"/>
    <sheet name="Tender Text" sheetId="9" state="hidden" r:id="rId9"/>
  </sheets>
  <definedNames>
    <definedName name="adpi.">'HSC-AD data'!$B$2:$B$5</definedName>
    <definedName name="face250">'HSC-AD data'!$M$33:$M$34</definedName>
    <definedName name="face355">'HSC-AD data'!$N$33:$N$36</definedName>
    <definedName name="face500">'HSC-AD data'!$O$33:$O$35</definedName>
    <definedName name="getChart">IF(OR('HSC-AD data'!$B$141="E",'HSC-AD data'!$D$29="M0"),IF('HSC-AD data'!$D$19=250,INDIRECT("'HSC-AD data diagrams'!$B$1"),IF('HSC-AD data'!$D$19=355,INDIRECT("'HSC-AD data diagrams'!$B$2"),IF('HSC-AD data'!$D$19=500,INDIRECT("'HSC-AD data diagrams'!$B$3"),IF('HSC-AD data'!$D$19=710,INDIRECT("'HSC-AD data diagrams'!$B$4"),IF('HSC-AD data'!$D$19=1000,INDIRECT("'HSC-AD data diagrams'!$B$5"),""))))),INDIRECT("'HSC-AD data diagrams'!$C$1"))</definedName>
    <definedName name="getFrontChart">IF('HSC-AD data'!$D$19=250,INDIRECT("Charts!$B$1"),IF('HSC-AD data'!$D$19=355,INDIRECT("Charts!$B$3"),IF('HSC-AD data'!$D$19=500,INDIRECT("Charts!$B$5"),IF('HSC-AD data'!$D$19=710,INDIRECT("Charts!$B$7"),IF('HSC-AD data'!$D$19=1000,INDIRECT("Charts!$B$9"),"")))))</definedName>
    <definedName name="size.">'HSC-AD data'!$C$57:$C$61</definedName>
  </definedName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C15" i="2" l="1"/>
  <c r="C27" i="2"/>
  <c r="C4" i="2"/>
  <c r="C11" i="2"/>
  <c r="M146" i="2"/>
  <c r="M149" i="2"/>
  <c r="W146" i="2"/>
  <c r="W149" i="2"/>
  <c r="AG146" i="2"/>
  <c r="AG149" i="2"/>
  <c r="AQ146" i="2"/>
  <c r="AQ149" i="2"/>
  <c r="C146" i="2"/>
  <c r="C149" i="2"/>
  <c r="M79" i="2"/>
  <c r="M80" i="2"/>
  <c r="M83" i="2"/>
  <c r="W79" i="2"/>
  <c r="W80" i="2"/>
  <c r="W83" i="2"/>
  <c r="AG79" i="2"/>
  <c r="AG80" i="2"/>
  <c r="AG83" i="2"/>
  <c r="AQ79" i="2"/>
  <c r="AQ80" i="2"/>
  <c r="AQ83" i="2"/>
  <c r="BA79" i="2"/>
  <c r="BA80" i="2"/>
  <c r="BA83" i="2"/>
  <c r="C79" i="2"/>
  <c r="C80" i="2"/>
  <c r="C83" i="2"/>
  <c r="D3" i="2"/>
  <c r="B246" i="2"/>
  <c r="C105" i="3"/>
  <c r="C109" i="3"/>
  <c r="C110" i="3"/>
  <c r="C108" i="3"/>
  <c r="E15" i="5"/>
  <c r="C96" i="3"/>
  <c r="C107" i="3"/>
  <c r="D14" i="5"/>
  <c r="C19" i="3"/>
  <c r="C66" i="2"/>
  <c r="D66" i="2"/>
  <c r="W84" i="2"/>
  <c r="W85" i="2"/>
  <c r="H222" i="2"/>
  <c r="H303" i="2"/>
  <c r="H301" i="2"/>
  <c r="H304" i="2"/>
  <c r="C26" i="2"/>
  <c r="H306" i="2"/>
  <c r="H307" i="2"/>
  <c r="H308" i="2"/>
  <c r="H309" i="2"/>
  <c r="H237" i="2"/>
  <c r="H312" i="2"/>
  <c r="H223" i="2"/>
  <c r="H238" i="2"/>
  <c r="F80" i="3"/>
  <c r="G80" i="3"/>
  <c r="C102" i="3"/>
  <c r="C106" i="3"/>
  <c r="D19" i="3"/>
  <c r="E19" i="3"/>
  <c r="C70" i="3"/>
  <c r="C19" i="2"/>
  <c r="C21" i="2"/>
  <c r="C23" i="2"/>
  <c r="C17" i="2"/>
  <c r="C34" i="2"/>
  <c r="D31" i="2"/>
  <c r="C33" i="2"/>
  <c r="C24" i="2"/>
  <c r="W86" i="2"/>
  <c r="W87" i="2"/>
  <c r="W88" i="2"/>
  <c r="H233" i="2"/>
  <c r="H262" i="2"/>
  <c r="K58" i="1"/>
  <c r="C89" i="3"/>
  <c r="D89" i="3"/>
  <c r="C101" i="3"/>
  <c r="E14" i="5"/>
  <c r="F79" i="3"/>
  <c r="G79" i="3"/>
  <c r="C100" i="3"/>
  <c r="H252" i="2"/>
  <c r="K48" i="1"/>
  <c r="C79" i="3"/>
  <c r="D79" i="3"/>
  <c r="C20" i="3"/>
  <c r="D64" i="3"/>
  <c r="C64" i="3"/>
  <c r="C95" i="3"/>
  <c r="W71" i="2"/>
  <c r="W77" i="2"/>
  <c r="H221" i="2"/>
  <c r="H251" i="2"/>
  <c r="K47" i="1"/>
  <c r="C78" i="3"/>
  <c r="D78" i="3"/>
  <c r="C112" i="3"/>
  <c r="F31" i="2"/>
  <c r="W92" i="2"/>
  <c r="H225" i="2"/>
  <c r="H256" i="2"/>
  <c r="K52" i="1"/>
  <c r="C83" i="3"/>
  <c r="D83" i="3"/>
  <c r="B115" i="3"/>
  <c r="B245" i="2"/>
  <c r="B72" i="3"/>
  <c r="B73" i="3"/>
  <c r="B247" i="2"/>
  <c r="B74" i="3"/>
  <c r="B75" i="3"/>
  <c r="B249" i="2"/>
  <c r="B76" i="3"/>
  <c r="B250" i="2"/>
  <c r="B77" i="3"/>
  <c r="B251" i="2"/>
  <c r="B78" i="3"/>
  <c r="B237" i="2"/>
  <c r="B252" i="2"/>
  <c r="B79" i="3"/>
  <c r="B253" i="2"/>
  <c r="B80" i="3"/>
  <c r="B254" i="2"/>
  <c r="B81" i="3"/>
  <c r="B255" i="2"/>
  <c r="B82" i="3"/>
  <c r="B256" i="2"/>
  <c r="B83" i="3"/>
  <c r="B257" i="2"/>
  <c r="B84" i="3"/>
  <c r="B258" i="2"/>
  <c r="B85" i="3"/>
  <c r="B259" i="2"/>
  <c r="B86" i="3"/>
  <c r="B260" i="2"/>
  <c r="B87" i="3"/>
  <c r="B88" i="3"/>
  <c r="B262" i="2"/>
  <c r="B89" i="3"/>
  <c r="C12" i="2"/>
  <c r="C13" i="2"/>
  <c r="Z138" i="2"/>
  <c r="W161" i="2"/>
  <c r="W162" i="2"/>
  <c r="C58" i="2"/>
  <c r="C59" i="2"/>
  <c r="W170" i="2"/>
  <c r="W173" i="2"/>
  <c r="F58" i="2"/>
  <c r="F59" i="2"/>
  <c r="W171" i="2"/>
  <c r="W174" i="2"/>
  <c r="C38" i="2"/>
  <c r="C16" i="2"/>
  <c r="W175" i="2"/>
  <c r="G226" i="2"/>
  <c r="W158" i="2"/>
  <c r="G225" i="2"/>
  <c r="G256" i="2"/>
  <c r="W145" i="2"/>
  <c r="W150" i="2"/>
  <c r="W152" i="2"/>
  <c r="W153" i="2"/>
  <c r="W154" i="2"/>
  <c r="G233" i="2"/>
  <c r="G262" i="2"/>
  <c r="J58" i="1"/>
  <c r="W151" i="2"/>
  <c r="G222" i="2"/>
  <c r="G237" i="2"/>
  <c r="G252" i="2"/>
  <c r="J48" i="1"/>
  <c r="W142" i="2"/>
  <c r="G217" i="2"/>
  <c r="G247" i="2"/>
  <c r="J43" i="1"/>
  <c r="W76" i="2"/>
  <c r="H217" i="2"/>
  <c r="H247" i="2"/>
  <c r="K43" i="1"/>
  <c r="C74" i="3"/>
  <c r="D74" i="3"/>
  <c r="C91" i="3"/>
  <c r="C99" i="3"/>
  <c r="Y137" i="2"/>
  <c r="W137" i="2"/>
  <c r="W139" i="2"/>
  <c r="W140" i="2"/>
  <c r="G218" i="2"/>
  <c r="G248" i="2"/>
  <c r="J44" i="1"/>
  <c r="W73" i="2"/>
  <c r="W74" i="2"/>
  <c r="H218" i="2"/>
  <c r="H248" i="2"/>
  <c r="K44" i="1"/>
  <c r="C75" i="3"/>
  <c r="D75" i="3"/>
  <c r="G214" i="2"/>
  <c r="G244" i="2"/>
  <c r="J40" i="1"/>
  <c r="H214" i="2"/>
  <c r="H244" i="2"/>
  <c r="K40" i="1"/>
  <c r="C71" i="3"/>
  <c r="D71" i="3"/>
  <c r="C98" i="3"/>
  <c r="B244" i="2"/>
  <c r="B71" i="3"/>
  <c r="E29" i="3"/>
  <c r="C216" i="2"/>
  <c r="C246" i="2"/>
  <c r="F42" i="1"/>
  <c r="D216" i="2"/>
  <c r="D246" i="2"/>
  <c r="G42" i="1"/>
  <c r="E216" i="2"/>
  <c r="E246" i="2"/>
  <c r="H42" i="1"/>
  <c r="F216" i="2"/>
  <c r="F246" i="2"/>
  <c r="I42" i="1"/>
  <c r="G216" i="2"/>
  <c r="G246" i="2"/>
  <c r="J42" i="1"/>
  <c r="H216" i="2"/>
  <c r="H246" i="2"/>
  <c r="K42" i="1"/>
  <c r="I216" i="2"/>
  <c r="I246" i="2"/>
  <c r="L42" i="1"/>
  <c r="J216" i="2"/>
  <c r="J246" i="2"/>
  <c r="M42" i="1"/>
  <c r="K216" i="2"/>
  <c r="K246" i="2"/>
  <c r="N42" i="1"/>
  <c r="L216" i="2"/>
  <c r="L246" i="2"/>
  <c r="O42" i="1"/>
  <c r="C42" i="1"/>
  <c r="M216" i="2"/>
  <c r="M246" i="2"/>
  <c r="M84" i="2"/>
  <c r="M86" i="2"/>
  <c r="M87" i="2"/>
  <c r="M88" i="2"/>
  <c r="AG84" i="2"/>
  <c r="AG86" i="2"/>
  <c r="AG87" i="2"/>
  <c r="AG88" i="2"/>
  <c r="AQ84" i="2"/>
  <c r="AQ86" i="2"/>
  <c r="AQ87" i="2"/>
  <c r="AQ88" i="2"/>
  <c r="BA84" i="2"/>
  <c r="BA86" i="2"/>
  <c r="BA87" i="2"/>
  <c r="BA88" i="2"/>
  <c r="C84" i="2"/>
  <c r="C86" i="2"/>
  <c r="C87" i="2"/>
  <c r="C88" i="2"/>
  <c r="M145" i="2"/>
  <c r="M150" i="2"/>
  <c r="M152" i="2"/>
  <c r="M153" i="2"/>
  <c r="M154" i="2"/>
  <c r="AG145" i="2"/>
  <c r="AG150" i="2"/>
  <c r="AG152" i="2"/>
  <c r="AG153" i="2"/>
  <c r="AG154" i="2"/>
  <c r="AQ145" i="2"/>
  <c r="AQ150" i="2"/>
  <c r="AQ152" i="2"/>
  <c r="AQ153" i="2"/>
  <c r="AQ154" i="2"/>
  <c r="C145" i="2"/>
  <c r="C150" i="2"/>
  <c r="C152" i="2"/>
  <c r="C153" i="2"/>
  <c r="C154" i="2"/>
  <c r="F27" i="3"/>
  <c r="B10" i="5"/>
  <c r="D38" i="3"/>
  <c r="D40" i="3"/>
  <c r="D41" i="3"/>
  <c r="D42" i="3"/>
  <c r="E42" i="3"/>
  <c r="D43" i="3"/>
  <c r="C65" i="3"/>
  <c r="B44" i="5"/>
  <c r="F29" i="3"/>
  <c r="C66" i="3"/>
  <c r="B45" i="5"/>
  <c r="C67" i="3"/>
  <c r="B46" i="5"/>
  <c r="C214" i="2"/>
  <c r="C142" i="2"/>
  <c r="C217" i="2"/>
  <c r="E137" i="2"/>
  <c r="C137" i="2"/>
  <c r="C139" i="2"/>
  <c r="C140" i="2"/>
  <c r="C218" i="2"/>
  <c r="C14" i="2"/>
  <c r="C206" i="2"/>
  <c r="C161" i="2"/>
  <c r="C162" i="2"/>
  <c r="C170" i="2"/>
  <c r="C173" i="2"/>
  <c r="C171" i="2"/>
  <c r="C174" i="2"/>
  <c r="C175" i="2"/>
  <c r="C226" i="2"/>
  <c r="C204" i="2"/>
  <c r="C207" i="2"/>
  <c r="D214" i="2"/>
  <c r="C76" i="2"/>
  <c r="D217" i="2"/>
  <c r="C71" i="2"/>
  <c r="C73" i="2"/>
  <c r="C74" i="2"/>
  <c r="D218" i="2"/>
  <c r="D206" i="2"/>
  <c r="C95" i="2"/>
  <c r="C96" i="2"/>
  <c r="C104" i="2"/>
  <c r="C107" i="2"/>
  <c r="C105" i="2"/>
  <c r="C108" i="2"/>
  <c r="C109" i="2"/>
  <c r="D226" i="2"/>
  <c r="D204" i="2"/>
  <c r="D207" i="2"/>
  <c r="E214" i="2"/>
  <c r="M142" i="2"/>
  <c r="E217" i="2"/>
  <c r="O137" i="2"/>
  <c r="M137" i="2"/>
  <c r="M139" i="2"/>
  <c r="M140" i="2"/>
  <c r="E218" i="2"/>
  <c r="E206" i="2"/>
  <c r="M161" i="2"/>
  <c r="M162" i="2"/>
  <c r="M170" i="2"/>
  <c r="M173" i="2"/>
  <c r="M171" i="2"/>
  <c r="M174" i="2"/>
  <c r="M175" i="2"/>
  <c r="E226" i="2"/>
  <c r="E204" i="2"/>
  <c r="E207" i="2"/>
  <c r="F214" i="2"/>
  <c r="M76" i="2"/>
  <c r="F217" i="2"/>
  <c r="M71" i="2"/>
  <c r="M73" i="2"/>
  <c r="M74" i="2"/>
  <c r="F218" i="2"/>
  <c r="F206" i="2"/>
  <c r="M95" i="2"/>
  <c r="M96" i="2"/>
  <c r="M104" i="2"/>
  <c r="M107" i="2"/>
  <c r="M105" i="2"/>
  <c r="M108" i="2"/>
  <c r="M109" i="2"/>
  <c r="F226" i="2"/>
  <c r="F204" i="2"/>
  <c r="F207" i="2"/>
  <c r="G206" i="2"/>
  <c r="G204" i="2"/>
  <c r="G207" i="2"/>
  <c r="H206" i="2"/>
  <c r="W95" i="2"/>
  <c r="W96" i="2"/>
  <c r="W104" i="2"/>
  <c r="W107" i="2"/>
  <c r="W105" i="2"/>
  <c r="W108" i="2"/>
  <c r="W109" i="2"/>
  <c r="H226" i="2"/>
  <c r="H204" i="2"/>
  <c r="H207" i="2"/>
  <c r="I214" i="2"/>
  <c r="AG142" i="2"/>
  <c r="I217" i="2"/>
  <c r="AI137" i="2"/>
  <c r="AJ137" i="2"/>
  <c r="AG137" i="2"/>
  <c r="AG139" i="2"/>
  <c r="AG140" i="2"/>
  <c r="I218" i="2"/>
  <c r="I206" i="2"/>
  <c r="AG161" i="2"/>
  <c r="AG162" i="2"/>
  <c r="AG170" i="2"/>
  <c r="AG173" i="2"/>
  <c r="AG171" i="2"/>
  <c r="AG174" i="2"/>
  <c r="AG175" i="2"/>
  <c r="I226" i="2"/>
  <c r="I204" i="2"/>
  <c r="I207" i="2"/>
  <c r="J214" i="2"/>
  <c r="AG76" i="2"/>
  <c r="J217" i="2"/>
  <c r="AJ71" i="2"/>
  <c r="AG71" i="2"/>
  <c r="AG73" i="2"/>
  <c r="AG74" i="2"/>
  <c r="J218" i="2"/>
  <c r="J206" i="2"/>
  <c r="J207" i="2"/>
  <c r="K214" i="2"/>
  <c r="AQ142" i="2"/>
  <c r="K217" i="2"/>
  <c r="AS137" i="2"/>
  <c r="AT137" i="2"/>
  <c r="AQ137" i="2"/>
  <c r="AQ139" i="2"/>
  <c r="AQ140" i="2"/>
  <c r="K218" i="2"/>
  <c r="K206" i="2"/>
  <c r="K207" i="2"/>
  <c r="L214" i="2"/>
  <c r="AQ76" i="2"/>
  <c r="L217" i="2"/>
  <c r="AT71" i="2"/>
  <c r="AQ71" i="2"/>
  <c r="AQ73" i="2"/>
  <c r="AQ74" i="2"/>
  <c r="L218" i="2"/>
  <c r="L206" i="2"/>
  <c r="L207" i="2"/>
  <c r="M214" i="2"/>
  <c r="BC76" i="2"/>
  <c r="BA76" i="2"/>
  <c r="M217" i="2"/>
  <c r="BD71" i="2"/>
  <c r="BA71" i="2"/>
  <c r="BA73" i="2"/>
  <c r="BA74" i="2"/>
  <c r="M218" i="2"/>
  <c r="M206" i="2"/>
  <c r="M207" i="2"/>
  <c r="B47" i="2"/>
  <c r="E47" i="2"/>
  <c r="C48" i="2"/>
  <c r="C49" i="2"/>
  <c r="C165" i="2"/>
  <c r="C166" i="2"/>
  <c r="C167" i="2"/>
  <c r="C227" i="2"/>
  <c r="C205" i="2"/>
  <c r="C208" i="2"/>
  <c r="C99" i="2"/>
  <c r="C100" i="2"/>
  <c r="C101" i="2"/>
  <c r="D227" i="2"/>
  <c r="D205" i="2"/>
  <c r="D208" i="2"/>
  <c r="M165" i="2"/>
  <c r="M166" i="2"/>
  <c r="M167" i="2"/>
  <c r="E227" i="2"/>
  <c r="E205" i="2"/>
  <c r="E208" i="2"/>
  <c r="F208" i="2"/>
  <c r="J208" i="2"/>
  <c r="K208" i="2"/>
  <c r="L208" i="2"/>
  <c r="M208" i="2"/>
  <c r="AG95" i="2"/>
  <c r="AG96" i="2"/>
  <c r="AG104" i="2"/>
  <c r="AG107" i="2"/>
  <c r="AG105" i="2"/>
  <c r="AG108" i="2"/>
  <c r="AG109" i="2"/>
  <c r="J226" i="2"/>
  <c r="AQ161" i="2"/>
  <c r="AQ162" i="2"/>
  <c r="AQ170" i="2"/>
  <c r="AQ173" i="2"/>
  <c r="AQ171" i="2"/>
  <c r="AQ174" i="2"/>
  <c r="AQ175" i="2"/>
  <c r="K226" i="2"/>
  <c r="AQ95" i="2"/>
  <c r="AQ96" i="2"/>
  <c r="AQ104" i="2"/>
  <c r="AQ107" i="2"/>
  <c r="AQ105" i="2"/>
  <c r="AQ108" i="2"/>
  <c r="AQ109" i="2"/>
  <c r="L226" i="2"/>
  <c r="BA95" i="2"/>
  <c r="BA96" i="2"/>
  <c r="BA104" i="2"/>
  <c r="BA107" i="2"/>
  <c r="BA105" i="2"/>
  <c r="BA108" i="2"/>
  <c r="BA109" i="2"/>
  <c r="M226" i="2"/>
  <c r="E38" i="3"/>
  <c r="F38" i="3"/>
  <c r="G38" i="3"/>
  <c r="H38" i="3"/>
  <c r="F233" i="2"/>
  <c r="F262" i="2"/>
  <c r="F26" i="3"/>
  <c r="F25" i="3"/>
  <c r="D44" i="3"/>
  <c r="E27" i="3"/>
  <c r="D29" i="3"/>
  <c r="D51" i="3"/>
  <c r="D53" i="3"/>
  <c r="F64" i="1"/>
  <c r="D26" i="3"/>
  <c r="E233" i="2"/>
  <c r="E262" i="2"/>
  <c r="G69" i="1"/>
  <c r="G68" i="1"/>
  <c r="J64" i="1"/>
  <c r="H64" i="1"/>
  <c r="I64" i="1"/>
  <c r="G64" i="1"/>
  <c r="H65" i="1"/>
  <c r="I233" i="2"/>
  <c r="I262" i="2"/>
  <c r="C94" i="3"/>
  <c r="B116" i="3"/>
  <c r="J52" i="1"/>
  <c r="AG158" i="2"/>
  <c r="I225" i="2"/>
  <c r="I256" i="2"/>
  <c r="L52" i="1"/>
  <c r="M92" i="2"/>
  <c r="F225" i="2"/>
  <c r="F256" i="2"/>
  <c r="I52" i="1"/>
  <c r="M158" i="2"/>
  <c r="E225" i="2"/>
  <c r="E256" i="2"/>
  <c r="H52" i="1"/>
  <c r="G3" i="2"/>
  <c r="D93" i="3"/>
  <c r="B122" i="3"/>
  <c r="C48" i="1"/>
  <c r="W143" i="2"/>
  <c r="G221" i="2"/>
  <c r="G251" i="2"/>
  <c r="J47" i="1"/>
  <c r="AG143" i="2"/>
  <c r="I221" i="2"/>
  <c r="I251" i="2"/>
  <c r="L47" i="1"/>
  <c r="M77" i="2"/>
  <c r="F221" i="2"/>
  <c r="F251" i="2"/>
  <c r="I47" i="1"/>
  <c r="M143" i="2"/>
  <c r="E221" i="2"/>
  <c r="E251" i="2"/>
  <c r="H47" i="1"/>
  <c r="G220" i="2"/>
  <c r="G250" i="2"/>
  <c r="J46" i="1"/>
  <c r="H220" i="2"/>
  <c r="H250" i="2"/>
  <c r="K46" i="1"/>
  <c r="C77" i="3"/>
  <c r="B19" i="5"/>
  <c r="B132" i="3"/>
  <c r="B27" i="5"/>
  <c r="A134" i="3"/>
  <c r="I247" i="2"/>
  <c r="L43" i="1"/>
  <c r="F247" i="2"/>
  <c r="I43" i="1"/>
  <c r="E247" i="2"/>
  <c r="H43" i="1"/>
  <c r="C73" i="3"/>
  <c r="D73" i="3"/>
  <c r="B15" i="5"/>
  <c r="AG151" i="2"/>
  <c r="I222" i="2"/>
  <c r="I237" i="2"/>
  <c r="I252" i="2"/>
  <c r="L48" i="1"/>
  <c r="M85" i="2"/>
  <c r="F222" i="2"/>
  <c r="F237" i="2"/>
  <c r="F252" i="2"/>
  <c r="I48" i="1"/>
  <c r="M151" i="2"/>
  <c r="E222" i="2"/>
  <c r="E237" i="2"/>
  <c r="E252" i="2"/>
  <c r="H48" i="1"/>
  <c r="B16" i="5"/>
  <c r="L58" i="1"/>
  <c r="I58" i="1"/>
  <c r="H58" i="1"/>
  <c r="I244" i="2"/>
  <c r="L40" i="1"/>
  <c r="F244" i="2"/>
  <c r="I40" i="1"/>
  <c r="E244" i="2"/>
  <c r="H40" i="1"/>
  <c r="I248" i="2"/>
  <c r="L44" i="1"/>
  <c r="F248" i="2"/>
  <c r="I44" i="1"/>
  <c r="E248" i="2"/>
  <c r="H44" i="1"/>
  <c r="B14" i="5"/>
  <c r="B141" i="3"/>
  <c r="W141" i="2"/>
  <c r="G215" i="2"/>
  <c r="G245" i="2"/>
  <c r="J41" i="1"/>
  <c r="AG141" i="2"/>
  <c r="I215" i="2"/>
  <c r="I245" i="2"/>
  <c r="L41" i="1"/>
  <c r="M75" i="2"/>
  <c r="F215" i="2"/>
  <c r="F245" i="2"/>
  <c r="I41" i="1"/>
  <c r="W75" i="2"/>
  <c r="H215" i="2"/>
  <c r="H245" i="2"/>
  <c r="K41" i="1"/>
  <c r="M141" i="2"/>
  <c r="E215" i="2"/>
  <c r="E245" i="2"/>
  <c r="H41" i="1"/>
  <c r="C72" i="3"/>
  <c r="D72" i="3"/>
  <c r="G219" i="2"/>
  <c r="G249" i="2"/>
  <c r="J45" i="1"/>
  <c r="I219" i="2"/>
  <c r="I249" i="2"/>
  <c r="L45" i="1"/>
  <c r="F219" i="2"/>
  <c r="F249" i="2"/>
  <c r="I45" i="1"/>
  <c r="H219" i="2"/>
  <c r="H249" i="2"/>
  <c r="K45" i="1"/>
  <c r="E219" i="2"/>
  <c r="E249" i="2"/>
  <c r="H45" i="1"/>
  <c r="I220" i="2"/>
  <c r="I250" i="2"/>
  <c r="L46" i="1"/>
  <c r="F220" i="2"/>
  <c r="F250" i="2"/>
  <c r="I46" i="1"/>
  <c r="E220" i="2"/>
  <c r="E250" i="2"/>
  <c r="H46" i="1"/>
  <c r="C76" i="3"/>
  <c r="G224" i="2"/>
  <c r="G253" i="2"/>
  <c r="J49" i="1"/>
  <c r="I224" i="2"/>
  <c r="I253" i="2"/>
  <c r="L49" i="1"/>
  <c r="F224" i="2"/>
  <c r="F253" i="2"/>
  <c r="I49" i="1"/>
  <c r="H224" i="2"/>
  <c r="H253" i="2"/>
  <c r="K49" i="1"/>
  <c r="E224" i="2"/>
  <c r="E253" i="2"/>
  <c r="H49" i="1"/>
  <c r="B7" i="8"/>
  <c r="C37" i="2"/>
  <c r="C63" i="2"/>
  <c r="C64" i="2"/>
  <c r="J204" i="2"/>
  <c r="K204" i="2"/>
  <c r="L204" i="2"/>
  <c r="C180" i="2"/>
  <c r="B205" i="2"/>
  <c r="M204" i="2"/>
  <c r="B204" i="2"/>
  <c r="C62" i="2"/>
  <c r="D233" i="2"/>
  <c r="D262" i="2"/>
  <c r="J233" i="2"/>
  <c r="J262" i="2"/>
  <c r="K233" i="2"/>
  <c r="K262" i="2"/>
  <c r="L233" i="2"/>
  <c r="L262" i="2"/>
  <c r="M262" i="2"/>
  <c r="C233" i="2"/>
  <c r="C262" i="2"/>
  <c r="C92" i="2"/>
  <c r="D225" i="2"/>
  <c r="D256" i="2"/>
  <c r="D271" i="2"/>
  <c r="E271" i="2"/>
  <c r="F271" i="2"/>
  <c r="G271" i="2"/>
  <c r="H271" i="2"/>
  <c r="I271" i="2"/>
  <c r="AG92" i="2"/>
  <c r="J225" i="2"/>
  <c r="J256" i="2"/>
  <c r="J271" i="2"/>
  <c r="AQ158" i="2"/>
  <c r="K225" i="2"/>
  <c r="K256" i="2"/>
  <c r="K271" i="2"/>
  <c r="AQ92" i="2"/>
  <c r="L225" i="2"/>
  <c r="L256" i="2"/>
  <c r="L271" i="2"/>
  <c r="BA92" i="2"/>
  <c r="M225" i="2"/>
  <c r="M256" i="2"/>
  <c r="M271" i="2"/>
  <c r="C158" i="2"/>
  <c r="C225" i="2"/>
  <c r="C256" i="2"/>
  <c r="C271" i="2"/>
  <c r="BA77" i="2"/>
  <c r="AQ77" i="2"/>
  <c r="AQ143" i="2"/>
  <c r="AG77" i="2"/>
  <c r="C77" i="2"/>
  <c r="C143" i="2"/>
  <c r="AQ193" i="2"/>
  <c r="AQ180" i="2"/>
  <c r="AG193" i="2"/>
  <c r="AG180" i="2"/>
  <c r="W193" i="2"/>
  <c r="W180" i="2"/>
  <c r="M193" i="2"/>
  <c r="M180" i="2"/>
  <c r="BA127" i="2"/>
  <c r="BA114" i="2"/>
  <c r="AQ127" i="2"/>
  <c r="AQ114" i="2"/>
  <c r="AG127" i="2"/>
  <c r="AG114" i="2"/>
  <c r="W127" i="2"/>
  <c r="W114" i="2"/>
  <c r="M127" i="2"/>
  <c r="M114" i="2"/>
  <c r="C127" i="2"/>
  <c r="C114" i="2"/>
  <c r="C193" i="2"/>
  <c r="G71" i="2"/>
  <c r="Q71" i="2"/>
  <c r="AA73" i="2"/>
  <c r="D36" i="2"/>
  <c r="C75" i="2"/>
  <c r="Y138" i="2"/>
  <c r="Y72" i="2"/>
  <c r="C20" i="2"/>
  <c r="E45" i="2"/>
  <c r="P49" i="1"/>
  <c r="M243" i="2"/>
  <c r="J221" i="2"/>
  <c r="J251" i="2"/>
  <c r="AG75" i="2"/>
  <c r="J215" i="2"/>
  <c r="J245" i="2"/>
  <c r="J247" i="2"/>
  <c r="AG85" i="2"/>
  <c r="J222" i="2"/>
  <c r="J237" i="2"/>
  <c r="J252" i="2"/>
  <c r="J219" i="2"/>
  <c r="J249" i="2"/>
  <c r="J248" i="2"/>
  <c r="C6" i="2"/>
  <c r="E10" i="1"/>
  <c r="E3" i="2"/>
  <c r="D6" i="2"/>
  <c r="F10" i="1"/>
  <c r="G280" i="2"/>
  <c r="G285" i="2"/>
  <c r="B3" i="5"/>
  <c r="B239" i="2"/>
  <c r="C43" i="1"/>
  <c r="N17" i="1"/>
  <c r="M16" i="1"/>
  <c r="E63" i="2"/>
  <c r="K224" i="2"/>
  <c r="K253" i="2"/>
  <c r="N49" i="1"/>
  <c r="E15" i="4"/>
  <c r="F15" i="4"/>
  <c r="F17" i="4"/>
  <c r="D18" i="4"/>
  <c r="C17" i="4"/>
  <c r="C18" i="4"/>
  <c r="G15" i="4"/>
  <c r="G17" i="4"/>
  <c r="H15" i="4"/>
  <c r="H17" i="4"/>
  <c r="I15" i="4"/>
  <c r="I17" i="4"/>
  <c r="J15" i="4"/>
  <c r="J17" i="4"/>
  <c r="K15" i="4"/>
  <c r="K17" i="4"/>
  <c r="L15" i="4"/>
  <c r="L17" i="4"/>
  <c r="D15" i="4"/>
  <c r="D17" i="4"/>
  <c r="K234" i="2"/>
  <c r="X234" i="2"/>
  <c r="Y234" i="2"/>
  <c r="Q234" i="2"/>
  <c r="E234" i="2"/>
  <c r="R234" i="2"/>
  <c r="S234" i="2"/>
  <c r="G234" i="2"/>
  <c r="T234" i="2"/>
  <c r="U234" i="2"/>
  <c r="I234" i="2"/>
  <c r="V234" i="2"/>
  <c r="W234" i="2"/>
  <c r="C234" i="2"/>
  <c r="P234" i="2"/>
  <c r="B263" i="2"/>
  <c r="C243" i="2"/>
  <c r="D243" i="2"/>
  <c r="E243" i="2"/>
  <c r="F243" i="2"/>
  <c r="G243" i="2"/>
  <c r="H243" i="2"/>
  <c r="I243" i="2"/>
  <c r="J243" i="2"/>
  <c r="K243" i="2"/>
  <c r="L243" i="2"/>
  <c r="C19" i="4"/>
  <c r="E17" i="4"/>
  <c r="J244" i="2"/>
  <c r="AQ75" i="2"/>
  <c r="L215" i="2"/>
  <c r="L245" i="2"/>
  <c r="O41" i="1"/>
  <c r="M220" i="2"/>
  <c r="M250" i="2"/>
  <c r="P46" i="1"/>
  <c r="BA75" i="2"/>
  <c r="M215" i="2"/>
  <c r="M245" i="2"/>
  <c r="P41" i="1"/>
  <c r="M247" i="2"/>
  <c r="P43" i="1"/>
  <c r="N52" i="1"/>
  <c r="P52" i="1"/>
  <c r="M244" i="2"/>
  <c r="P40" i="1"/>
  <c r="C290" i="2"/>
  <c r="L248" i="2"/>
  <c r="O44" i="1"/>
  <c r="C85" i="2"/>
  <c r="D222" i="2"/>
  <c r="L244" i="2"/>
  <c r="O40" i="1"/>
  <c r="BF84" i="2"/>
  <c r="M219" i="2"/>
  <c r="M249" i="2"/>
  <c r="P45" i="1"/>
  <c r="C151" i="2"/>
  <c r="C222" i="2"/>
  <c r="M40" i="1"/>
  <c r="D248" i="2"/>
  <c r="G44" i="1"/>
  <c r="C244" i="2"/>
  <c r="F40" i="1"/>
  <c r="C40" i="1"/>
  <c r="G71" i="1"/>
  <c r="C248" i="2"/>
  <c r="F44" i="1"/>
  <c r="K244" i="2"/>
  <c r="N40" i="1"/>
  <c r="K219" i="2"/>
  <c r="K249" i="2"/>
  <c r="N45" i="1"/>
  <c r="AQ85" i="2"/>
  <c r="L222" i="2"/>
  <c r="M17" i="1"/>
  <c r="C41" i="1"/>
  <c r="D215" i="2"/>
  <c r="D245" i="2"/>
  <c r="G41" i="1"/>
  <c r="K220" i="2"/>
  <c r="K250" i="2"/>
  <c r="N46" i="1"/>
  <c r="AQ151" i="2"/>
  <c r="K222" i="2"/>
  <c r="M41" i="1"/>
  <c r="L247" i="2"/>
  <c r="O43" i="1"/>
  <c r="D247" i="2"/>
  <c r="G43" i="1"/>
  <c r="L220" i="2"/>
  <c r="L250" i="2"/>
  <c r="O46" i="1"/>
  <c r="D244" i="2"/>
  <c r="G40" i="1"/>
  <c r="M44" i="1"/>
  <c r="E43" i="2"/>
  <c r="C220" i="2"/>
  <c r="C250" i="2"/>
  <c r="F46" i="1"/>
  <c r="C141" i="2"/>
  <c r="C215" i="2"/>
  <c r="C245" i="2"/>
  <c r="F41" i="1"/>
  <c r="M43" i="1"/>
  <c r="K247" i="2"/>
  <c r="N43" i="1"/>
  <c r="J220" i="2"/>
  <c r="J250" i="2"/>
  <c r="M46" i="1"/>
  <c r="AQ141" i="2"/>
  <c r="K215" i="2"/>
  <c r="K245" i="2"/>
  <c r="N41" i="1"/>
  <c r="D220" i="2"/>
  <c r="D250" i="2"/>
  <c r="G46" i="1"/>
  <c r="C247" i="2"/>
  <c r="F43" i="1"/>
  <c r="J65" i="1"/>
  <c r="J224" i="2"/>
  <c r="J253" i="2"/>
  <c r="M49" i="1"/>
  <c r="D224" i="2"/>
  <c r="D253" i="2"/>
  <c r="G49" i="1"/>
  <c r="L224" i="2"/>
  <c r="L253" i="2"/>
  <c r="O49" i="1"/>
  <c r="C224" i="2"/>
  <c r="C253" i="2"/>
  <c r="F49" i="1"/>
  <c r="G52" i="1"/>
  <c r="M52" i="1"/>
  <c r="O52" i="1"/>
  <c r="F52" i="1"/>
  <c r="B43" i="5"/>
  <c r="D221" i="2"/>
  <c r="D251" i="2"/>
  <c r="G47" i="1"/>
  <c r="D219" i="2"/>
  <c r="D249" i="2"/>
  <c r="G45" i="1"/>
  <c r="C221" i="2"/>
  <c r="C251" i="2"/>
  <c r="F47" i="1"/>
  <c r="L221" i="2"/>
  <c r="L251" i="2"/>
  <c r="O47" i="1"/>
  <c r="L219" i="2"/>
  <c r="L249" i="2"/>
  <c r="O45" i="1"/>
  <c r="BA85" i="2"/>
  <c r="M222" i="2"/>
  <c r="M248" i="2"/>
  <c r="P44" i="1"/>
  <c r="M221" i="2"/>
  <c r="M251" i="2"/>
  <c r="P47" i="1"/>
  <c r="L303" i="2"/>
  <c r="L301" i="2"/>
  <c r="L304" i="2"/>
  <c r="L239" i="2"/>
  <c r="L237" i="2"/>
  <c r="F239" i="2"/>
  <c r="J239" i="2"/>
  <c r="C239" i="2"/>
  <c r="C237" i="2"/>
  <c r="D239" i="2"/>
  <c r="D237" i="2"/>
  <c r="K278" i="2"/>
  <c r="E239" i="2"/>
  <c r="I303" i="2"/>
  <c r="I301" i="2"/>
  <c r="I304" i="2"/>
  <c r="I306" i="2"/>
  <c r="I307" i="2"/>
  <c r="I308" i="2"/>
  <c r="I239" i="2"/>
  <c r="K281" i="2"/>
  <c r="K280" i="2"/>
  <c r="K283" i="2"/>
  <c r="K282" i="2"/>
  <c r="K279" i="2"/>
  <c r="D276" i="2"/>
  <c r="C287" i="2"/>
  <c r="C288" i="2"/>
  <c r="H239" i="2"/>
  <c r="G239" i="2"/>
  <c r="K237" i="2"/>
  <c r="K239" i="2"/>
  <c r="B9" i="5"/>
  <c r="K221" i="2"/>
  <c r="K251" i="2"/>
  <c r="N47" i="1"/>
  <c r="C219" i="2"/>
  <c r="C249" i="2"/>
  <c r="F45" i="1"/>
  <c r="K248" i="2"/>
  <c r="N44" i="1"/>
  <c r="L26" i="1"/>
  <c r="P58" i="1"/>
  <c r="K284" i="2"/>
  <c r="C303" i="2"/>
  <c r="C301" i="2"/>
  <c r="C304" i="2"/>
  <c r="C306" i="2"/>
  <c r="C307" i="2"/>
  <c r="C308" i="2"/>
  <c r="K276" i="2"/>
  <c r="E42" i="2"/>
  <c r="E44" i="2"/>
  <c r="M45" i="1"/>
  <c r="M47" i="1"/>
  <c r="G303" i="2"/>
  <c r="G301" i="2"/>
  <c r="G304" i="2"/>
  <c r="G306" i="2"/>
  <c r="G307" i="2"/>
  <c r="G308" i="2"/>
  <c r="D303" i="2"/>
  <c r="D301" i="2"/>
  <c r="D304" i="2"/>
  <c r="D306" i="2"/>
  <c r="D307" i="2"/>
  <c r="D308" i="2"/>
  <c r="K277" i="2"/>
  <c r="K285" i="2"/>
  <c r="F303" i="2"/>
  <c r="F301" i="2"/>
  <c r="F304" i="2"/>
  <c r="F306" i="2"/>
  <c r="F307" i="2"/>
  <c r="F308" i="2"/>
  <c r="E303" i="2"/>
  <c r="E301" i="2"/>
  <c r="E304" i="2"/>
  <c r="E306" i="2"/>
  <c r="E307" i="2"/>
  <c r="E308" i="2"/>
  <c r="K303" i="2"/>
  <c r="K301" i="2"/>
  <c r="K304" i="2"/>
  <c r="K306" i="2"/>
  <c r="K307" i="2"/>
  <c r="K308" i="2"/>
  <c r="J303" i="2"/>
  <c r="J301" i="2"/>
  <c r="J304" i="2"/>
  <c r="J306" i="2"/>
  <c r="J307" i="2"/>
  <c r="J308" i="2"/>
  <c r="L306" i="2"/>
  <c r="L307" i="2"/>
  <c r="L308" i="2"/>
  <c r="M239" i="2"/>
  <c r="M303" i="2"/>
  <c r="M301" i="2"/>
  <c r="M304" i="2"/>
  <c r="M306" i="2"/>
  <c r="M307" i="2"/>
  <c r="M308" i="2"/>
  <c r="M237" i="2"/>
  <c r="D281" i="2"/>
  <c r="F286" i="2"/>
  <c r="G286" i="2"/>
  <c r="E290" i="2"/>
  <c r="D290" i="2"/>
  <c r="C32" i="2"/>
  <c r="C311" i="2"/>
  <c r="C309" i="2"/>
  <c r="I309" i="2"/>
  <c r="I311" i="2"/>
  <c r="K309" i="2"/>
  <c r="K311" i="2"/>
  <c r="J309" i="2"/>
  <c r="J311" i="2"/>
  <c r="D309" i="2"/>
  <c r="D311" i="2"/>
  <c r="E311" i="2"/>
  <c r="E309" i="2"/>
  <c r="F311" i="2"/>
  <c r="F309" i="2"/>
  <c r="D286" i="2"/>
  <c r="E286" i="2"/>
  <c r="H311" i="2"/>
  <c r="G311" i="2"/>
  <c r="G309" i="2"/>
  <c r="R241" i="2"/>
  <c r="X241" i="2"/>
  <c r="U241" i="2"/>
  <c r="N58" i="1"/>
  <c r="W241" i="2"/>
  <c r="F58" i="1"/>
  <c r="T241" i="2"/>
  <c r="M58" i="1"/>
  <c r="V241" i="2"/>
  <c r="S241" i="2"/>
  <c r="Q241" i="2"/>
  <c r="O58" i="1"/>
  <c r="P241" i="2"/>
  <c r="Y241" i="2"/>
  <c r="G58" i="1"/>
  <c r="L311" i="2"/>
  <c r="L309" i="2"/>
  <c r="L312" i="2"/>
  <c r="L223" i="2"/>
  <c r="L240" i="2"/>
  <c r="L263" i="2"/>
  <c r="M309" i="2"/>
  <c r="M311" i="2"/>
  <c r="G267" i="2"/>
  <c r="G312" i="2"/>
  <c r="G223" i="2"/>
  <c r="G240" i="2"/>
  <c r="G263" i="2"/>
  <c r="F267" i="2"/>
  <c r="F312" i="2"/>
  <c r="F223" i="2"/>
  <c r="F240" i="2"/>
  <c r="F263" i="2"/>
  <c r="E267" i="2"/>
  <c r="E312" i="2"/>
  <c r="E223" i="2"/>
  <c r="E240" i="2"/>
  <c r="E263" i="2"/>
  <c r="I312" i="2"/>
  <c r="I223" i="2"/>
  <c r="I240" i="2"/>
  <c r="I263" i="2"/>
  <c r="I267" i="2"/>
  <c r="J312" i="2"/>
  <c r="J223" i="2"/>
  <c r="J240" i="2"/>
  <c r="J263" i="2"/>
  <c r="J267" i="2"/>
  <c r="K312" i="2"/>
  <c r="K223" i="2"/>
  <c r="K240" i="2"/>
  <c r="K263" i="2"/>
  <c r="K267" i="2"/>
  <c r="C312" i="2"/>
  <c r="C223" i="2"/>
  <c r="C240" i="2"/>
  <c r="C263" i="2"/>
  <c r="C267" i="2"/>
  <c r="H240" i="2"/>
  <c r="H263" i="2"/>
  <c r="H267" i="2"/>
  <c r="D312" i="2"/>
  <c r="D223" i="2"/>
  <c r="D240" i="2"/>
  <c r="D263" i="2"/>
  <c r="D267" i="2"/>
  <c r="M312" i="2"/>
  <c r="M223" i="2"/>
  <c r="M240" i="2"/>
  <c r="M263" i="2"/>
  <c r="M267" i="2"/>
  <c r="L238" i="2"/>
  <c r="L252" i="2"/>
  <c r="O48" i="1"/>
  <c r="L267" i="2"/>
  <c r="K238" i="2"/>
  <c r="K252" i="2"/>
  <c r="N48" i="1"/>
  <c r="J238" i="2"/>
  <c r="M48" i="1"/>
  <c r="I238" i="2"/>
  <c r="F238" i="2"/>
  <c r="E238" i="2"/>
  <c r="D238" i="2"/>
  <c r="D252" i="2"/>
  <c r="G48" i="1"/>
  <c r="C238" i="2"/>
  <c r="C252" i="2"/>
  <c r="F48" i="1"/>
  <c r="G238" i="2"/>
  <c r="M238" i="2"/>
  <c r="M252" i="2"/>
  <c r="P48" i="1"/>
  <c r="G70" i="1"/>
  <c r="F67" i="1"/>
  <c r="B48" i="5"/>
  <c r="D47" i="2"/>
  <c r="C80" i="3"/>
  <c r="D27" i="3"/>
  <c r="L65" i="1"/>
  <c r="C47" i="2"/>
  <c r="W99" i="2"/>
  <c r="W100" i="2"/>
  <c r="W101" i="2"/>
  <c r="H227" i="2"/>
  <c r="W165" i="2"/>
  <c r="W166" i="2"/>
  <c r="W167" i="2"/>
  <c r="G227" i="2"/>
  <c r="M99" i="2"/>
  <c r="M100" i="2"/>
  <c r="M101" i="2"/>
  <c r="F227" i="2"/>
  <c r="AG165" i="2"/>
  <c r="AG166" i="2"/>
  <c r="AG167" i="2"/>
  <c r="I227" i="2"/>
  <c r="AG99" i="2"/>
  <c r="AG100" i="2"/>
  <c r="AG101" i="2"/>
  <c r="J227" i="2"/>
  <c r="AQ165" i="2"/>
  <c r="AQ166" i="2"/>
  <c r="AQ167" i="2"/>
  <c r="K227" i="2"/>
  <c r="AQ99" i="2"/>
  <c r="AQ100" i="2"/>
  <c r="AQ101" i="2"/>
  <c r="L227" i="2"/>
  <c r="BA99" i="2"/>
  <c r="BA100" i="2"/>
  <c r="BA101" i="2"/>
  <c r="M227" i="2"/>
  <c r="H254" i="2"/>
  <c r="K50" i="1"/>
  <c r="C81" i="3"/>
  <c r="D81" i="3"/>
  <c r="C118" i="3"/>
  <c r="B120" i="3"/>
  <c r="B126" i="3"/>
  <c r="G254" i="2"/>
  <c r="J50" i="1"/>
  <c r="G205" i="2"/>
  <c r="G208" i="2"/>
  <c r="H205" i="2"/>
  <c r="H208" i="2"/>
  <c r="I205" i="2"/>
  <c r="I208" i="2"/>
  <c r="C209" i="2"/>
  <c r="C179" i="2"/>
  <c r="C181" i="2"/>
  <c r="C200" i="2"/>
  <c r="R53" i="1"/>
  <c r="H255" i="2"/>
  <c r="K51" i="1"/>
  <c r="C82" i="3"/>
  <c r="D82" i="3"/>
  <c r="B118" i="3"/>
  <c r="B121" i="3"/>
  <c r="B127" i="3"/>
  <c r="G255" i="2"/>
  <c r="J51" i="1"/>
  <c r="J205" i="2"/>
  <c r="K205" i="2"/>
  <c r="L205" i="2"/>
  <c r="L14" i="1"/>
  <c r="M205" i="2"/>
  <c r="D255" i="2"/>
  <c r="D254" i="2"/>
  <c r="D270" i="2"/>
  <c r="E255" i="2"/>
  <c r="E254" i="2"/>
  <c r="E270" i="2"/>
  <c r="F255" i="2"/>
  <c r="F254" i="2"/>
  <c r="F270" i="2"/>
  <c r="G270" i="2"/>
  <c r="H270" i="2"/>
  <c r="I255" i="2"/>
  <c r="I254" i="2"/>
  <c r="I270" i="2"/>
  <c r="J255" i="2"/>
  <c r="J254" i="2"/>
  <c r="J270" i="2"/>
  <c r="K255" i="2"/>
  <c r="K254" i="2"/>
  <c r="K270" i="2"/>
  <c r="L255" i="2"/>
  <c r="L254" i="2"/>
  <c r="L270" i="2"/>
  <c r="M255" i="2"/>
  <c r="M254" i="2"/>
  <c r="M270" i="2"/>
  <c r="C255" i="2"/>
  <c r="C254" i="2"/>
  <c r="C270" i="2"/>
  <c r="D269" i="2"/>
  <c r="E269" i="2"/>
  <c r="F269" i="2"/>
  <c r="G269" i="2"/>
  <c r="H269" i="2"/>
  <c r="I269" i="2"/>
  <c r="J269" i="2"/>
  <c r="K269" i="2"/>
  <c r="L269" i="2"/>
  <c r="M269" i="2"/>
  <c r="C269" i="2"/>
  <c r="G51" i="1"/>
  <c r="O51" i="1"/>
  <c r="N51" i="1"/>
  <c r="P51" i="1"/>
  <c r="F51" i="1"/>
  <c r="F50" i="1"/>
  <c r="G50" i="1"/>
  <c r="O50" i="1"/>
  <c r="N50" i="1"/>
  <c r="P50" i="1"/>
  <c r="M50" i="1"/>
  <c r="H50" i="1"/>
  <c r="I50" i="1"/>
  <c r="L50" i="1"/>
  <c r="M51" i="1"/>
  <c r="H51" i="1"/>
  <c r="I51" i="1"/>
  <c r="L51" i="1"/>
  <c r="C92" i="3"/>
  <c r="B123" i="3"/>
  <c r="C182" i="2"/>
  <c r="C183" i="2"/>
  <c r="C199" i="2"/>
  <c r="C93" i="3"/>
  <c r="D126" i="3"/>
  <c r="B129" i="3"/>
  <c r="D127" i="3"/>
  <c r="D128" i="3"/>
  <c r="B124" i="3"/>
  <c r="B128" i="3"/>
  <c r="L18" i="1"/>
  <c r="AG113" i="2"/>
  <c r="AG115" i="2"/>
  <c r="AG116" i="2"/>
  <c r="AG117" i="2"/>
  <c r="AG118" i="2"/>
  <c r="C185" i="2"/>
  <c r="C186" i="2"/>
  <c r="C187" i="2"/>
  <c r="F188" i="2"/>
  <c r="F189" i="2"/>
  <c r="F190" i="2"/>
  <c r="F191" i="2"/>
  <c r="M179" i="2"/>
  <c r="M181" i="2"/>
  <c r="M182" i="2"/>
  <c r="M183" i="2"/>
  <c r="M185" i="2"/>
  <c r="M186" i="2"/>
  <c r="M187" i="2"/>
  <c r="P188" i="2"/>
  <c r="P189" i="2"/>
  <c r="P190" i="2"/>
  <c r="P191" i="2"/>
  <c r="W179" i="2"/>
  <c r="W181" i="2"/>
  <c r="W182" i="2"/>
  <c r="W183" i="2"/>
  <c r="W185" i="2"/>
  <c r="W186" i="2"/>
  <c r="W187" i="2"/>
  <c r="Z188" i="2"/>
  <c r="Z189" i="2"/>
  <c r="Z190" i="2"/>
  <c r="Z191" i="2"/>
  <c r="AG179" i="2"/>
  <c r="AG181" i="2"/>
  <c r="AG182" i="2"/>
  <c r="AG183" i="2"/>
  <c r="AG185" i="2"/>
  <c r="AG186" i="2"/>
  <c r="AG187" i="2"/>
  <c r="AJ188" i="2"/>
  <c r="AJ189" i="2"/>
  <c r="AJ190" i="2"/>
  <c r="AJ191" i="2"/>
  <c r="AQ179" i="2"/>
  <c r="AQ181" i="2"/>
  <c r="AQ182" i="2"/>
  <c r="AQ183" i="2"/>
  <c r="AQ185" i="2"/>
  <c r="AQ186" i="2"/>
  <c r="AQ187" i="2"/>
  <c r="AT188" i="2"/>
  <c r="AT189" i="2"/>
  <c r="AT190" i="2"/>
  <c r="AT191" i="2"/>
  <c r="BA113" i="2"/>
  <c r="BA115" i="2"/>
  <c r="BA116" i="2"/>
  <c r="BA117" i="2"/>
  <c r="BA119" i="2"/>
  <c r="BA120" i="2"/>
  <c r="BA121" i="2"/>
  <c r="BD125" i="2"/>
  <c r="BD124" i="2"/>
  <c r="BD123" i="2"/>
  <c r="BD122" i="2"/>
  <c r="BA118" i="2"/>
  <c r="AQ113" i="2"/>
  <c r="AQ115" i="2"/>
  <c r="AQ116" i="2"/>
  <c r="AQ117" i="2"/>
  <c r="AQ119" i="2"/>
  <c r="AQ120" i="2"/>
  <c r="AQ121" i="2"/>
  <c r="AT125" i="2"/>
  <c r="AT124" i="2"/>
  <c r="AT123" i="2"/>
  <c r="AT122" i="2"/>
  <c r="AQ184" i="2"/>
  <c r="AG184" i="2"/>
  <c r="AG119" i="2"/>
  <c r="AG120" i="2"/>
  <c r="AG121" i="2"/>
  <c r="AJ125" i="2"/>
  <c r="AJ124" i="2"/>
  <c r="AJ123" i="2"/>
  <c r="AJ122" i="2"/>
  <c r="W113" i="2"/>
  <c r="W115" i="2"/>
  <c r="W116" i="2"/>
  <c r="W117" i="2"/>
  <c r="W119" i="2"/>
  <c r="W120" i="2"/>
  <c r="W121" i="2"/>
  <c r="Z125" i="2"/>
  <c r="Z124" i="2"/>
  <c r="Z123" i="2"/>
  <c r="Z122" i="2"/>
  <c r="W118" i="2"/>
  <c r="W184" i="2"/>
  <c r="M184" i="2"/>
  <c r="C184" i="2"/>
  <c r="M113" i="2"/>
  <c r="M115" i="2"/>
  <c r="M116" i="2"/>
  <c r="M117" i="2"/>
  <c r="M119" i="2"/>
  <c r="M120" i="2"/>
  <c r="M121" i="2"/>
  <c r="P125" i="2"/>
  <c r="P124" i="2"/>
  <c r="P123" i="2"/>
  <c r="P122" i="2"/>
  <c r="M118" i="2"/>
  <c r="AQ200" i="2"/>
  <c r="AQ199" i="2"/>
  <c r="AG200" i="2"/>
  <c r="AG199" i="2"/>
  <c r="W200" i="2"/>
  <c r="W199" i="2"/>
  <c r="M199" i="2"/>
  <c r="BA134" i="2"/>
  <c r="BA133" i="2"/>
  <c r="AQ134" i="2"/>
  <c r="AQ133" i="2"/>
  <c r="AG134" i="2"/>
  <c r="AG133" i="2"/>
  <c r="W134" i="2"/>
  <c r="W133" i="2"/>
  <c r="M134" i="2"/>
  <c r="M133" i="2"/>
  <c r="C113" i="2"/>
  <c r="C115" i="2"/>
  <c r="C134" i="2"/>
  <c r="C116" i="2"/>
  <c r="C117" i="2"/>
  <c r="C133" i="2"/>
  <c r="L16" i="1"/>
  <c r="C119" i="2"/>
  <c r="C120" i="2"/>
  <c r="C121" i="2"/>
  <c r="F122" i="2"/>
  <c r="F123" i="2"/>
  <c r="F124" i="2"/>
  <c r="F125" i="2"/>
  <c r="C118" i="2"/>
  <c r="AQ118" i="2"/>
  <c r="M200" i="2"/>
  <c r="C318" i="2"/>
  <c r="C317" i="2"/>
  <c r="C319" i="2"/>
  <c r="D318" i="2"/>
  <c r="D317" i="2"/>
  <c r="D319" i="2"/>
  <c r="E318" i="2"/>
  <c r="E317" i="2"/>
  <c r="E319" i="2"/>
  <c r="F318" i="2"/>
  <c r="F317" i="2"/>
  <c r="F319" i="2"/>
  <c r="G318" i="2"/>
  <c r="G317" i="2"/>
  <c r="G319" i="2"/>
  <c r="H318" i="2"/>
  <c r="H317" i="2"/>
  <c r="H319" i="2"/>
  <c r="I318" i="2"/>
  <c r="I317" i="2"/>
  <c r="I319" i="2"/>
  <c r="J318" i="2"/>
  <c r="J317" i="2"/>
  <c r="J319" i="2"/>
  <c r="K318" i="2"/>
  <c r="K317" i="2"/>
  <c r="K319" i="2"/>
  <c r="L318" i="2"/>
  <c r="L317" i="2"/>
  <c r="L319" i="2"/>
  <c r="M318" i="2"/>
  <c r="M317" i="2"/>
  <c r="M319" i="2"/>
  <c r="N319" i="2"/>
  <c r="Q51" i="1"/>
  <c r="D193" i="2"/>
  <c r="E193" i="2"/>
  <c r="F193" i="2"/>
  <c r="C194" i="2"/>
  <c r="C197" i="2"/>
  <c r="C232" i="2"/>
  <c r="C261" i="2"/>
  <c r="F57" i="1"/>
  <c r="C196" i="2"/>
  <c r="C231" i="2"/>
  <c r="C260" i="2"/>
  <c r="F56" i="1"/>
  <c r="C228" i="2"/>
  <c r="C257" i="2"/>
  <c r="F53" i="1"/>
  <c r="C229" i="2"/>
  <c r="C258" i="2"/>
  <c r="F54" i="1"/>
  <c r="C195" i="2"/>
  <c r="C230" i="2"/>
  <c r="C259" i="2"/>
  <c r="F55" i="1"/>
  <c r="F205" i="2"/>
  <c r="Y193" i="2"/>
  <c r="X193" i="2"/>
  <c r="Z193" i="2"/>
  <c r="W194" i="2"/>
  <c r="W197" i="2"/>
  <c r="G232" i="2"/>
  <c r="G261" i="2"/>
  <c r="J57" i="1"/>
  <c r="Y127" i="2"/>
  <c r="X127" i="2"/>
  <c r="Z127" i="2"/>
  <c r="W128" i="2"/>
  <c r="W131" i="2"/>
  <c r="H232" i="2"/>
  <c r="H261" i="2"/>
  <c r="K57" i="1"/>
  <c r="C88" i="3"/>
  <c r="D88" i="3"/>
  <c r="B137" i="3"/>
  <c r="B32" i="5"/>
  <c r="G228" i="2"/>
  <c r="G257" i="2"/>
  <c r="J53" i="1"/>
  <c r="H228" i="2"/>
  <c r="H257" i="2"/>
  <c r="K53" i="1"/>
  <c r="C84" i="3"/>
  <c r="D84" i="3"/>
  <c r="B133" i="3"/>
  <c r="B28" i="5"/>
  <c r="AI193" i="2"/>
  <c r="E127" i="2"/>
  <c r="O127" i="2"/>
  <c r="AI127" i="2"/>
  <c r="AS127" i="2"/>
  <c r="BC127" i="2"/>
  <c r="O193" i="2"/>
  <c r="AS193" i="2"/>
  <c r="BB127" i="2"/>
  <c r="BD127" i="2"/>
  <c r="M228" i="2"/>
  <c r="M257" i="2"/>
  <c r="P53" i="1"/>
  <c r="AR127" i="2"/>
  <c r="AT127" i="2"/>
  <c r="L228" i="2"/>
  <c r="L257" i="2"/>
  <c r="O53" i="1"/>
  <c r="AR193" i="2"/>
  <c r="AT193" i="2"/>
  <c r="K228" i="2"/>
  <c r="K257" i="2"/>
  <c r="N53" i="1"/>
  <c r="AH193" i="2"/>
  <c r="AJ193" i="2"/>
  <c r="I228" i="2"/>
  <c r="I257" i="2"/>
  <c r="L53" i="1"/>
  <c r="N127" i="2"/>
  <c r="P127" i="2"/>
  <c r="F228" i="2"/>
  <c r="F257" i="2"/>
  <c r="I53" i="1"/>
  <c r="N193" i="2"/>
  <c r="P193" i="2"/>
  <c r="E228" i="2"/>
  <c r="E257" i="2"/>
  <c r="H53" i="1"/>
  <c r="AH127" i="2"/>
  <c r="AJ127" i="2"/>
  <c r="J228" i="2"/>
  <c r="J257" i="2"/>
  <c r="M53" i="1"/>
  <c r="M194" i="2"/>
  <c r="M195" i="2"/>
  <c r="E230" i="2"/>
  <c r="E259" i="2"/>
  <c r="H55" i="1"/>
  <c r="AQ194" i="2"/>
  <c r="AQ195" i="2"/>
  <c r="K230" i="2"/>
  <c r="K259" i="2"/>
  <c r="N55" i="1"/>
  <c r="AQ128" i="2"/>
  <c r="AQ129" i="2"/>
  <c r="L230" i="2"/>
  <c r="L259" i="2"/>
  <c r="O55" i="1"/>
  <c r="AG128" i="2"/>
  <c r="AG129" i="2"/>
  <c r="J230" i="2"/>
  <c r="J259" i="2"/>
  <c r="M55" i="1"/>
  <c r="M128" i="2"/>
  <c r="M129" i="2"/>
  <c r="F230" i="2"/>
  <c r="F259" i="2"/>
  <c r="I55" i="1"/>
  <c r="AG194" i="2"/>
  <c r="AG195" i="2"/>
  <c r="I230" i="2"/>
  <c r="I259" i="2"/>
  <c r="L55" i="1"/>
  <c r="K229" i="2"/>
  <c r="K258" i="2"/>
  <c r="N54" i="1"/>
  <c r="E229" i="2"/>
  <c r="E258" i="2"/>
  <c r="H54" i="1"/>
  <c r="F229" i="2"/>
  <c r="F258" i="2"/>
  <c r="I54" i="1"/>
  <c r="J229" i="2"/>
  <c r="J258" i="2"/>
  <c r="M54" i="1"/>
  <c r="L229" i="2"/>
  <c r="L258" i="2"/>
  <c r="O54" i="1"/>
  <c r="I229" i="2"/>
  <c r="I258" i="2"/>
  <c r="L54" i="1"/>
  <c r="BA128" i="2"/>
  <c r="BA129" i="2"/>
  <c r="M230" i="2"/>
  <c r="M259" i="2"/>
  <c r="P55" i="1"/>
  <c r="M229" i="2"/>
  <c r="M258" i="2"/>
  <c r="P54" i="1"/>
  <c r="BA130" i="2"/>
  <c r="M231" i="2"/>
  <c r="M260" i="2"/>
  <c r="P56" i="1"/>
  <c r="AQ130" i="2"/>
  <c r="L231" i="2"/>
  <c r="L260" i="2"/>
  <c r="O56" i="1"/>
  <c r="AQ196" i="2"/>
  <c r="K231" i="2"/>
  <c r="K260" i="2"/>
  <c r="N56" i="1"/>
  <c r="AG130" i="2"/>
  <c r="J231" i="2"/>
  <c r="J260" i="2"/>
  <c r="M56" i="1"/>
  <c r="AG196" i="2"/>
  <c r="I231" i="2"/>
  <c r="I260" i="2"/>
  <c r="L56" i="1"/>
  <c r="M130" i="2"/>
  <c r="F231" i="2"/>
  <c r="F260" i="2"/>
  <c r="I56" i="1"/>
  <c r="M196" i="2"/>
  <c r="E231" i="2"/>
  <c r="E260" i="2"/>
  <c r="H56" i="1"/>
  <c r="BA131" i="2"/>
  <c r="M232" i="2"/>
  <c r="M261" i="2"/>
  <c r="P57" i="1"/>
  <c r="AQ131" i="2"/>
  <c r="L232" i="2"/>
  <c r="L261" i="2"/>
  <c r="O57" i="1"/>
  <c r="AQ197" i="2"/>
  <c r="K232" i="2"/>
  <c r="K261" i="2"/>
  <c r="N57" i="1"/>
  <c r="AG131" i="2"/>
  <c r="J232" i="2"/>
  <c r="J261" i="2"/>
  <c r="M57" i="1"/>
  <c r="AG197" i="2"/>
  <c r="I232" i="2"/>
  <c r="I261" i="2"/>
  <c r="L57" i="1"/>
  <c r="M131" i="2"/>
  <c r="F232" i="2"/>
  <c r="F261" i="2"/>
  <c r="I57" i="1"/>
  <c r="M197" i="2"/>
  <c r="E232" i="2"/>
  <c r="E261" i="2"/>
  <c r="H57" i="1"/>
  <c r="G229" i="2"/>
  <c r="G258" i="2"/>
  <c r="J54" i="1"/>
  <c r="H229" i="2"/>
  <c r="H258" i="2"/>
  <c r="K54" i="1"/>
  <c r="C85" i="3"/>
  <c r="D85" i="3"/>
  <c r="B134" i="3"/>
  <c r="B29" i="5"/>
  <c r="W195" i="2"/>
  <c r="G230" i="2"/>
  <c r="G259" i="2"/>
  <c r="J55" i="1"/>
  <c r="W129" i="2"/>
  <c r="H230" i="2"/>
  <c r="H259" i="2"/>
  <c r="K55" i="1"/>
  <c r="C86" i="3"/>
  <c r="D86" i="3"/>
  <c r="B135" i="3"/>
  <c r="B30" i="5"/>
  <c r="W196" i="2"/>
  <c r="G231" i="2"/>
  <c r="G260" i="2"/>
  <c r="J56" i="1"/>
  <c r="W130" i="2"/>
  <c r="H231" i="2"/>
  <c r="H260" i="2"/>
  <c r="K56" i="1"/>
  <c r="C87" i="3"/>
  <c r="B136" i="3"/>
  <c r="B31" i="5"/>
  <c r="D127" i="2"/>
  <c r="F127" i="2"/>
  <c r="C128" i="2"/>
  <c r="C131" i="2"/>
  <c r="D232" i="2"/>
  <c r="D261" i="2"/>
  <c r="G57" i="1"/>
  <c r="C130" i="2"/>
  <c r="D231" i="2"/>
  <c r="D260" i="2"/>
  <c r="G56" i="1"/>
  <c r="D229" i="2"/>
  <c r="D258" i="2"/>
  <c r="G54" i="1"/>
  <c r="C129" i="2"/>
  <c r="D230" i="2"/>
  <c r="D259" i="2"/>
  <c r="G55" i="1"/>
  <c r="D228" i="2"/>
  <c r="D257" i="2"/>
  <c r="G53" i="1"/>
</calcChain>
</file>

<file path=xl/sharedStrings.xml><?xml version="1.0" encoding="utf-8"?>
<sst xmlns="http://schemas.openxmlformats.org/spreadsheetml/2006/main" count="1147" uniqueCount="407">
  <si>
    <t>Inputs</t>
  </si>
  <si>
    <t>Optional</t>
  </si>
  <si>
    <t>Pa</t>
  </si>
  <si>
    <t>Diffuser Height</t>
  </si>
  <si>
    <t>m</t>
  </si>
  <si>
    <t>ΔT (cooling)</t>
  </si>
  <si>
    <t>K</t>
  </si>
  <si>
    <t>Thermal Comfort Guide</t>
  </si>
  <si>
    <t>Premium comfort, sedentary activity, such as in auditoria.</t>
  </si>
  <si>
    <t>High comfort near-sedentary activity, such as in board rooms, high end offices and libraries.</t>
  </si>
  <si>
    <t>Good comfort near sedentary activity, such as open-plan offices and meeting rooms.</t>
  </si>
  <si>
    <t>Standard comfort medium activity, such as in transient spaces, retail and lobbies.</t>
  </si>
  <si>
    <r>
      <t xml:space="preserve">SMARTEMP </t>
    </r>
    <r>
      <rPr>
        <sz val="14"/>
        <color rgb="FFFF9900"/>
        <rFont val="Calibri"/>
        <family val="2"/>
      </rPr>
      <t>PRODUCT SELECTION CALCULATOR</t>
    </r>
  </si>
  <si>
    <r>
      <t xml:space="preserve">ADPI </t>
    </r>
    <r>
      <rPr>
        <b/>
        <sz val="11"/>
        <color rgb="FF808080"/>
        <rFont val="Calibri"/>
        <family val="2"/>
      </rPr>
      <t>≥</t>
    </r>
  </si>
  <si>
    <r>
      <t xml:space="preserve">default </t>
    </r>
    <r>
      <rPr>
        <sz val="11"/>
        <color rgb="FFA6A6A6"/>
        <rFont val="Calibri"/>
        <family val="2"/>
      </rPr>
      <t>≥ 90%</t>
    </r>
  </si>
  <si>
    <r>
      <t xml:space="preserve">ADPI </t>
    </r>
    <r>
      <rPr>
        <sz val="9"/>
        <color rgb="FF808080"/>
        <rFont val="Calibri"/>
        <family val="2"/>
      </rPr>
      <t xml:space="preserve">≥ </t>
    </r>
    <r>
      <rPr>
        <b/>
        <sz val="9"/>
        <color rgb="FF808080"/>
        <rFont val="Calibri"/>
        <family val="2"/>
      </rPr>
      <t>95%</t>
    </r>
    <r>
      <rPr>
        <sz val="9"/>
        <color rgb="FF808080"/>
        <rFont val="Calibri"/>
        <family val="2"/>
      </rPr>
      <t xml:space="preserve">; ṽ ≤ </t>
    </r>
    <r>
      <rPr>
        <b/>
        <sz val="9"/>
        <color rgb="FF808080"/>
        <rFont val="Calibri"/>
        <family val="2"/>
      </rPr>
      <t>0.20</t>
    </r>
    <r>
      <rPr>
        <sz val="9"/>
        <color rgb="FF808080"/>
        <rFont val="Calibri"/>
        <family val="2"/>
      </rPr>
      <t xml:space="preserve"> m/s:</t>
    </r>
  </si>
  <si>
    <r>
      <t xml:space="preserve">ADPI </t>
    </r>
    <r>
      <rPr>
        <sz val="9"/>
        <color rgb="FF808080"/>
        <rFont val="Calibri"/>
        <family val="2"/>
      </rPr>
      <t xml:space="preserve">≥ </t>
    </r>
    <r>
      <rPr>
        <b/>
        <sz val="9"/>
        <color rgb="FF808080"/>
        <rFont val="Calibri"/>
        <family val="2"/>
      </rPr>
      <t>90%</t>
    </r>
    <r>
      <rPr>
        <sz val="9"/>
        <color rgb="FF808080"/>
        <rFont val="Calibri"/>
        <family val="2"/>
      </rPr>
      <t xml:space="preserve">; ṽ ≤ </t>
    </r>
    <r>
      <rPr>
        <b/>
        <sz val="9"/>
        <color rgb="FF808080"/>
        <rFont val="Calibri"/>
        <family val="2"/>
      </rPr>
      <t>0.25</t>
    </r>
    <r>
      <rPr>
        <sz val="9"/>
        <color rgb="FF808080"/>
        <rFont val="Calibri"/>
        <family val="2"/>
      </rPr>
      <t xml:space="preserve"> m/s:</t>
    </r>
  </si>
  <si>
    <r>
      <t xml:space="preserve">ADPI </t>
    </r>
    <r>
      <rPr>
        <sz val="9"/>
        <color rgb="FF808080"/>
        <rFont val="Calibri"/>
        <family val="2"/>
      </rPr>
      <t xml:space="preserve">≥ </t>
    </r>
    <r>
      <rPr>
        <b/>
        <sz val="9"/>
        <color rgb="FF808080"/>
        <rFont val="Calibri"/>
        <family val="2"/>
      </rPr>
      <t>80%</t>
    </r>
    <r>
      <rPr>
        <sz val="9"/>
        <color rgb="FF808080"/>
        <rFont val="Calibri"/>
        <family val="2"/>
      </rPr>
      <t xml:space="preserve">; ṽ ≤ </t>
    </r>
    <r>
      <rPr>
        <b/>
        <sz val="9"/>
        <color rgb="FF808080"/>
        <rFont val="Calibri"/>
        <family val="2"/>
      </rPr>
      <t>0.29</t>
    </r>
    <r>
      <rPr>
        <sz val="9"/>
        <color rgb="FF808080"/>
        <rFont val="Calibri"/>
        <family val="2"/>
      </rPr>
      <t xml:space="preserve"> m/s:</t>
    </r>
  </si>
  <si>
    <r>
      <t xml:space="preserve">ADPI </t>
    </r>
    <r>
      <rPr>
        <sz val="9"/>
        <color rgb="FF808080"/>
        <rFont val="Calibri"/>
        <family val="2"/>
      </rPr>
      <t xml:space="preserve">≥ </t>
    </r>
    <r>
      <rPr>
        <b/>
        <sz val="9"/>
        <color rgb="FF808080"/>
        <rFont val="Calibri"/>
        <family val="2"/>
      </rPr>
      <t>70%</t>
    </r>
    <r>
      <rPr>
        <sz val="9"/>
        <color rgb="FF808080"/>
        <rFont val="Calibri"/>
        <family val="2"/>
      </rPr>
      <t xml:space="preserve">; ṽ ≤ </t>
    </r>
    <r>
      <rPr>
        <b/>
        <sz val="9"/>
        <color rgb="FF808080"/>
        <rFont val="Calibri"/>
        <family val="2"/>
      </rPr>
      <t>0.33</t>
    </r>
    <r>
      <rPr>
        <sz val="9"/>
        <color rgb="FF808080"/>
        <rFont val="Calibri"/>
        <family val="2"/>
      </rPr>
      <t xml:space="preserve"> m/s:</t>
    </r>
  </si>
  <si>
    <t>Adjustable Helical Swirl Diffuser [HSC-AD]</t>
  </si>
  <si>
    <t>Input</t>
  </si>
  <si>
    <t>Size</t>
  </si>
  <si>
    <t>Max airflow rate</t>
  </si>
  <si>
    <t>max pressure</t>
  </si>
  <si>
    <t>diffuser height</t>
  </si>
  <si>
    <t>DN250</t>
  </si>
  <si>
    <t>Pressure at airflow</t>
  </si>
  <si>
    <t>p-v</t>
  </si>
  <si>
    <t>SWL</t>
  </si>
  <si>
    <t>dT Heating</t>
  </si>
  <si>
    <t>H</t>
  </si>
  <si>
    <t>C</t>
  </si>
  <si>
    <t>T n.s.</t>
  </si>
  <si>
    <t>Tn.s.</t>
  </si>
  <si>
    <t>T s.</t>
  </si>
  <si>
    <t>R1</t>
  </si>
  <si>
    <t>DN355</t>
  </si>
  <si>
    <t>dT heating</t>
  </si>
  <si>
    <t>DN500</t>
  </si>
  <si>
    <t>DN710</t>
  </si>
  <si>
    <t>Results</t>
  </si>
  <si>
    <t>Max Airflow</t>
  </si>
  <si>
    <t xml:space="preserve">Max Recommended Airflow </t>
  </si>
  <si>
    <t>Total Pressure</t>
  </si>
  <si>
    <t>Max Permissible P</t>
  </si>
  <si>
    <t>Sound Power Level</t>
  </si>
  <si>
    <t>ΔT_max (heating)</t>
  </si>
  <si>
    <t>Cmax</t>
  </si>
  <si>
    <t>Cmin</t>
  </si>
  <si>
    <t>Draft Rating</t>
  </si>
  <si>
    <t>PPD</t>
  </si>
  <si>
    <t>Flow at max pressure</t>
  </si>
  <si>
    <t>Sound Power Level [dB(A)]</t>
  </si>
  <si>
    <t>DN1000</t>
  </si>
  <si>
    <t>DN250 R1</t>
  </si>
  <si>
    <t>DN355 R1</t>
  </si>
  <si>
    <t>DN500 R1</t>
  </si>
  <si>
    <t>DN710 R1</t>
  </si>
  <si>
    <t>DN1000 R1</t>
  </si>
  <si>
    <t>Q''</t>
  </si>
  <si>
    <t>ax</t>
  </si>
  <si>
    <t>^b</t>
  </si>
  <si>
    <t>x = velocity</t>
  </si>
  <si>
    <t>Mean room v</t>
  </si>
  <si>
    <t>W/m2</t>
  </si>
  <si>
    <t>DN250-R0</t>
  </si>
  <si>
    <t>DN250-R1</t>
  </si>
  <si>
    <t>DN355-R1</t>
  </si>
  <si>
    <t>DN355-R0</t>
  </si>
  <si>
    <t>DN500-R1</t>
  </si>
  <si>
    <t>DN500-R0</t>
  </si>
  <si>
    <t>DN710-R1</t>
  </si>
  <si>
    <t>DN710-R0</t>
  </si>
  <si>
    <t>DN1000-R1</t>
  </si>
  <si>
    <t>DN1000-R0</t>
  </si>
  <si>
    <t>dT cooling</t>
  </si>
  <si>
    <t>adpi</t>
  </si>
  <si>
    <t>DR</t>
  </si>
  <si>
    <t>Room Temperature (cooling)</t>
  </si>
  <si>
    <t>ADPI</t>
  </si>
  <si>
    <t>Room Temp Cooling</t>
  </si>
  <si>
    <t>T max Correction</t>
  </si>
  <si>
    <t>Mean PPD</t>
  </si>
  <si>
    <t>Mean Air Velocity</t>
  </si>
  <si>
    <t>m/s</t>
  </si>
  <si>
    <t>V</t>
  </si>
  <si>
    <t>ISO category</t>
  </si>
  <si>
    <t>Room Height</t>
  </si>
  <si>
    <t>PPD Class</t>
  </si>
  <si>
    <t>note: Q*1.2 density ignored to compensate for mean velocity to max velocity</t>
  </si>
  <si>
    <t>Max Recommended Centreline Dist. [m]</t>
  </si>
  <si>
    <t>Min Recommended Centreline Dist. [m]</t>
  </si>
  <si>
    <t>°C</t>
  </si>
  <si>
    <t>Room Temperature (heating)</t>
  </si>
  <si>
    <t>Result Validation</t>
  </si>
  <si>
    <t>check for manual input</t>
  </si>
  <si>
    <t>Room Temp Heating</t>
  </si>
  <si>
    <t>Draught Rating &amp; Heating</t>
  </si>
  <si>
    <t xml:space="preserve"> Diffuser Airflow Rate</t>
  </si>
  <si>
    <t>night setback temperature</t>
  </si>
  <si>
    <t>Room Temp. @ heating startup [°C]</t>
  </si>
  <si>
    <t>Controls</t>
  </si>
  <si>
    <t>T</t>
  </si>
  <si>
    <t>Manual Diffuser Distance</t>
  </si>
  <si>
    <t>Area</t>
  </si>
  <si>
    <t>Vmin</t>
  </si>
  <si>
    <t>Min Airflow</t>
  </si>
  <si>
    <t>V at -12K</t>
  </si>
  <si>
    <t>Specific Airflow Rate</t>
  </si>
  <si>
    <t>centreline distance between diffusers</t>
  </si>
  <si>
    <t>Diffuser Distance Selection Type</t>
  </si>
  <si>
    <t>20 °C to 26 °C</t>
  </si>
  <si>
    <t>heating factor</t>
  </si>
  <si>
    <t>0% to 100% (default 0%)</t>
  </si>
  <si>
    <t>% Low Level Return (heating)</t>
  </si>
  <si>
    <t>Total Pressure @ Airflow Rate [Pa]</t>
  </si>
  <si>
    <t>Low level return</t>
  </si>
  <si>
    <t xml:space="preserve">Key: </t>
  </si>
  <si>
    <t>Suitable</t>
  </si>
  <si>
    <t>Not Suitable</t>
  </si>
  <si>
    <t>Warning</t>
  </si>
  <si>
    <t>Model Selection</t>
  </si>
  <si>
    <t>Model</t>
  </si>
  <si>
    <t>Left</t>
  </si>
  <si>
    <t>dT</t>
  </si>
  <si>
    <t>Right</t>
  </si>
  <si>
    <t>dT Heating low level corrected</t>
  </si>
  <si>
    <t>OR</t>
  </si>
  <si>
    <t>Room Temp. @ heating startup</t>
  </si>
  <si>
    <t>R0 - no reducer; R1 - with reducer</t>
  </si>
  <si>
    <t xml:space="preserve">Note: </t>
  </si>
  <si>
    <t>Colour</t>
  </si>
  <si>
    <t>Order Code</t>
  </si>
  <si>
    <t>Product code</t>
  </si>
  <si>
    <t>DN</t>
  </si>
  <si>
    <t>R</t>
  </si>
  <si>
    <t>Adjustment</t>
  </si>
  <si>
    <t>RAL9005</t>
  </si>
  <si>
    <t>M</t>
  </si>
  <si>
    <t>RAL9003</t>
  </si>
  <si>
    <t>&lt;colour&gt;</t>
  </si>
  <si>
    <t>Code</t>
  </si>
  <si>
    <t>RAL9003* (signal white)</t>
  </si>
  <si>
    <t>RAL9005 (jet black)</t>
  </si>
  <si>
    <t>* indicates standard/default option</t>
  </si>
  <si>
    <r>
      <t xml:space="preserve">SMARTEMP </t>
    </r>
    <r>
      <rPr>
        <sz val="14"/>
        <color rgb="FFFF9900"/>
        <rFont val="Calibri"/>
        <family val="2"/>
        <scheme val="minor"/>
      </rPr>
      <t>PRODUCT SELECTION CALCULATOR</t>
    </r>
  </si>
  <si>
    <t>Adjustable Helical Swirl Diffuser [HSC-AD] Notes</t>
  </si>
  <si>
    <t>Acoustics</t>
  </si>
  <si>
    <t>Without acoustic lining, the sound power level of the connection box is up to 2 dB(A) higher.</t>
  </si>
  <si>
    <t>Ceiling Type</t>
  </si>
  <si>
    <t>D2</t>
  </si>
  <si>
    <t>D4</t>
  </si>
  <si>
    <t>E</t>
  </si>
  <si>
    <t>D5</t>
  </si>
  <si>
    <t>L</t>
  </si>
  <si>
    <t>H1</t>
  </si>
  <si>
    <t>H2</t>
  </si>
  <si>
    <t>H3</t>
  </si>
  <si>
    <t>F</t>
  </si>
  <si>
    <t>* all dimensions in mm</t>
  </si>
  <si>
    <t>445, 595, 603</t>
  </si>
  <si>
    <t>595, 603</t>
  </si>
  <si>
    <r>
      <t>D</t>
    </r>
    <r>
      <rPr>
        <b/>
        <vertAlign val="subscript"/>
        <sz val="12"/>
        <color theme="1"/>
        <rFont val="Calibri"/>
        <family val="2"/>
        <scheme val="minor"/>
      </rPr>
      <t>2</t>
    </r>
  </si>
  <si>
    <r>
      <t>D</t>
    </r>
    <r>
      <rPr>
        <b/>
        <vertAlign val="subscript"/>
        <sz val="12"/>
        <color theme="1"/>
        <rFont val="Calibri"/>
        <family val="2"/>
        <scheme val="minor"/>
      </rPr>
      <t>4</t>
    </r>
  </si>
  <si>
    <r>
      <t>D</t>
    </r>
    <r>
      <rPr>
        <b/>
        <vertAlign val="subscript"/>
        <sz val="12"/>
        <color theme="1"/>
        <rFont val="Calibri"/>
        <family val="2"/>
        <scheme val="minor"/>
      </rPr>
      <t>5</t>
    </r>
  </si>
  <si>
    <r>
      <t>H</t>
    </r>
    <r>
      <rPr>
        <b/>
        <vertAlign val="subscript"/>
        <sz val="12"/>
        <color theme="1"/>
        <rFont val="Calibri"/>
        <family val="2"/>
        <scheme val="minor"/>
      </rPr>
      <t>1</t>
    </r>
  </si>
  <si>
    <r>
      <t>H</t>
    </r>
    <r>
      <rPr>
        <b/>
        <vertAlign val="subscript"/>
        <sz val="12"/>
        <color theme="1"/>
        <rFont val="Calibri"/>
        <family val="2"/>
        <scheme val="minor"/>
      </rPr>
      <t>2</t>
    </r>
  </si>
  <si>
    <r>
      <t>H</t>
    </r>
    <r>
      <rPr>
        <b/>
        <vertAlign val="subscript"/>
        <sz val="12"/>
        <color theme="1"/>
        <rFont val="Calibri"/>
        <family val="2"/>
        <scheme val="minor"/>
      </rPr>
      <t>3</t>
    </r>
  </si>
  <si>
    <t>Diffuser Dimensions</t>
  </si>
  <si>
    <t>Diffuser can be installed substantially flush with a false ceiling or freely suspended.</t>
  </si>
  <si>
    <t>click to see product on smartair.asia</t>
  </si>
  <si>
    <t>Symbol</t>
  </si>
  <si>
    <t>Manual adjustment only.</t>
  </si>
  <si>
    <t>Description</t>
  </si>
  <si>
    <t>Adjustment Type Description (for 'Product Code Generator')</t>
  </si>
  <si>
    <t>dT corrected thermal element</t>
  </si>
  <si>
    <t>Thermal Element Setting [°C]</t>
  </si>
  <si>
    <t>Select Size &amp; Reducer</t>
  </si>
  <si>
    <t>Product Code &amp; Control Voltage Generator</t>
  </si>
  <si>
    <t>Diffuser Distance = Average(Max, Min) Centreline Distance</t>
  </si>
  <si>
    <t>not available in all regions</t>
  </si>
  <si>
    <t>default 60 Pa</t>
  </si>
  <si>
    <t>Units</t>
  </si>
  <si>
    <t>Unit Type</t>
  </si>
  <si>
    <t>Multiplier</t>
  </si>
  <si>
    <t>[L/s]</t>
  </si>
  <si>
    <t>max</t>
  </si>
  <si>
    <t>Project</t>
  </si>
  <si>
    <t>Company</t>
  </si>
  <si>
    <t>Consultant</t>
  </si>
  <si>
    <t>&lt;Name&gt;</t>
  </si>
  <si>
    <t>Product</t>
  </si>
  <si>
    <t>Project Summary</t>
  </si>
  <si>
    <t>Acoustic Performance</t>
  </si>
  <si>
    <t>Comfort Performance</t>
  </si>
  <si>
    <t>Mean Room Air Velocity</t>
  </si>
  <si>
    <t>Satisfies PPD (ISO7730)</t>
  </si>
  <si>
    <t>%</t>
  </si>
  <si>
    <t>Size and R</t>
  </si>
  <si>
    <t>Diagram</t>
  </si>
  <si>
    <t>Selected C</t>
  </si>
  <si>
    <t>Guide Ring Adjustment Type</t>
  </si>
  <si>
    <t>Manual</t>
  </si>
  <si>
    <t>Electric</t>
  </si>
  <si>
    <t>Thermal element</t>
  </si>
  <si>
    <t>adjustment</t>
  </si>
  <si>
    <t>summary</t>
  </si>
  <si>
    <t>description</t>
  </si>
  <si>
    <t>custom colour</t>
  </si>
  <si>
    <t>RAL9003 (signal white)</t>
  </si>
  <si>
    <t>Project:</t>
  </si>
  <si>
    <t>Adjustment Type</t>
  </si>
  <si>
    <t>^ contact Smartair Diffusion for custom colours</t>
  </si>
  <si>
    <t>Selected Airflow Rate</t>
  </si>
  <si>
    <t>HSC-AD Performance Calculator Summary</t>
  </si>
  <si>
    <t>SMARTEMP HSC-AD</t>
  </si>
  <si>
    <t>Adjustable Helical Swirl Diffuser</t>
  </si>
  <si>
    <t>ΔT (heating)</t>
  </si>
  <si>
    <t>room temp checkbox</t>
  </si>
  <si>
    <t>dT heating checkbox</t>
  </si>
  <si>
    <t>dT heating manual input</t>
  </si>
  <si>
    <t>Highlighting Rules</t>
  </si>
  <si>
    <t>Max Permissible dT</t>
  </si>
  <si>
    <t>true = manual input selected and selected heating &gt; permissible heating (i.e. true = warning)</t>
  </si>
  <si>
    <t>Guide Ring Settings</t>
  </si>
  <si>
    <t>Max dT</t>
  </si>
  <si>
    <t>2x dT</t>
  </si>
  <si>
    <t>Intercept</t>
  </si>
  <si>
    <t>Setting</t>
  </si>
  <si>
    <t>*</t>
  </si>
  <si>
    <t>Manual dT</t>
  </si>
  <si>
    <t>Penetration Constant</t>
  </si>
  <si>
    <t>Diameter</t>
  </si>
  <si>
    <t>velocity</t>
  </si>
  <si>
    <t>mm</t>
  </si>
  <si>
    <t>mm (100%)</t>
  </si>
  <si>
    <t>Stroke</t>
  </si>
  <si>
    <t xml:space="preserve">Chart Title </t>
  </si>
  <si>
    <t>Distance</t>
  </si>
  <si>
    <t>Guide ring mm</t>
  </si>
  <si>
    <t>Guide Ring mm</t>
  </si>
  <si>
    <t>Inverse</t>
  </si>
  <si>
    <t>Round &lt;20%</t>
  </si>
  <si>
    <t>true = show as K</t>
  </si>
  <si>
    <t>Round</t>
  </si>
  <si>
    <t>Min Recommended Diffuser Height [m]</t>
  </si>
  <si>
    <t>Hmin</t>
  </si>
  <si>
    <t>Distance not rounded</t>
  </si>
  <si>
    <t>BE1</t>
  </si>
  <si>
    <t>DN250-DN500: With base module and electric actuator 24V, 2-10V.</t>
  </si>
  <si>
    <t>BE2</t>
  </si>
  <si>
    <t>DN250-DN500: With base module and electric actuator 24V, 3-pt (2-position).</t>
  </si>
  <si>
    <t>BT__</t>
  </si>
  <si>
    <t>E3</t>
  </si>
  <si>
    <t>DN710: With electric actuator 24V, 2-10V.</t>
  </si>
  <si>
    <t>T__</t>
  </si>
  <si>
    <t>warning</t>
  </si>
  <si>
    <t>Hmin factor</t>
  </si>
  <si>
    <t>Factor</t>
  </si>
  <si>
    <t>Hmin Factor</t>
  </si>
  <si>
    <t>&lt;Project Name&gt;</t>
  </si>
  <si>
    <t>- option not available for DN250 - DN500</t>
  </si>
  <si>
    <t>- option not available for size DN710 and DN1000</t>
  </si>
  <si>
    <t xml:space="preserve"> - note: dimensions currently not available</t>
  </si>
  <si>
    <t>Ax</t>
  </si>
  <si>
    <t>Product Description</t>
  </si>
  <si>
    <t>refer to 'HSC-AD Selection Summary' for a printable summary</t>
  </si>
  <si>
    <t>0 K to -15 K (default -12 K)</t>
  </si>
  <si>
    <t>Alternate</t>
  </si>
  <si>
    <t>see rows 47 and 48</t>
  </si>
  <si>
    <t>2 m ≤ height ≤ 20 m</t>
  </si>
  <si>
    <t>Static Pressure</t>
  </si>
  <si>
    <t>Neck Dia.</t>
  </si>
  <si>
    <t>Neck Area</t>
  </si>
  <si>
    <t>Static Pressure @ Airflow Rate [Pa]</t>
  </si>
  <si>
    <t>'Guide Ring Position' @ max ΔT is the distance from diffuser face to guide ring trailing edge</t>
  </si>
  <si>
    <t>DN1340</t>
  </si>
  <si>
    <t>-</t>
  </si>
  <si>
    <t>FUSION DN1340</t>
  </si>
  <si>
    <t>Q'' Target</t>
  </si>
  <si>
    <t>v' at Vmax</t>
  </si>
  <si>
    <t>v' at Vmin</t>
  </si>
  <si>
    <t>Vmax</t>
  </si>
  <si>
    <t>v'</t>
  </si>
  <si>
    <t>Cmin Freely Suspended</t>
  </si>
  <si>
    <t>adjusts for adpi/temp/height through Q vs u_max</t>
  </si>
  <si>
    <t>pressure</t>
  </si>
  <si>
    <t>v</t>
  </si>
  <si>
    <t>PMV</t>
  </si>
  <si>
    <t>cmax</t>
  </si>
  <si>
    <t>cmin</t>
  </si>
  <si>
    <t>v' @Vmax</t>
  </si>
  <si>
    <t>v' @ Vmin</t>
  </si>
  <si>
    <t>Hfactor @ Vmax</t>
  </si>
  <si>
    <t>Hfactor @ Vmin</t>
  </si>
  <si>
    <t>v' &amp; Vmax</t>
  </si>
  <si>
    <t>at ADPI</t>
  </si>
  <si>
    <t>v' &amp; Vmin</t>
  </si>
  <si>
    <t>v' @ V</t>
  </si>
  <si>
    <t>H Factor</t>
  </si>
  <si>
    <t>Turndown to</t>
  </si>
  <si>
    <t>min flowrate</t>
  </si>
  <si>
    <t>c max eqn</t>
  </si>
  <si>
    <t>c max room height</t>
  </si>
  <si>
    <t>Freely Suspended</t>
  </si>
  <si>
    <t>Diffuser Location</t>
  </si>
  <si>
    <t>Closed Ceiling</t>
  </si>
  <si>
    <t>Freely Suspended (≥ 600mm below ceiling)</t>
  </si>
  <si>
    <t>Cmin Multiplier</t>
  </si>
  <si>
    <t>Cmax Multiplier</t>
  </si>
  <si>
    <t>Avg Diffuser Distance</t>
  </si>
  <si>
    <t>Dist. From Spec. flowrate</t>
  </si>
  <si>
    <t>Distance Selected</t>
  </si>
  <si>
    <t>V"</t>
  </si>
  <si>
    <t>Q"</t>
  </si>
  <si>
    <t>V'' Result</t>
  </si>
  <si>
    <t>Distance Result</t>
  </si>
  <si>
    <t>Max operating temperature 50°C</t>
  </si>
  <si>
    <t>see cells L14 &amp; L23</t>
  </si>
  <si>
    <t>Note: 'n.r.' - thermal element not recommended</t>
  </si>
  <si>
    <t>final selection</t>
  </si>
  <si>
    <t>factor * room height</t>
  </si>
  <si>
    <t>Distance Selection</t>
  </si>
  <si>
    <t>Heating</t>
  </si>
  <si>
    <t>Min Height</t>
  </si>
  <si>
    <t>Satifies PPD Category (ISO7730)</t>
  </si>
  <si>
    <t>Mean Draught Rating (DR)</t>
  </si>
  <si>
    <t>Mean Room Air Velocity [m/s]</t>
  </si>
  <si>
    <t>|PMV| (ISO7730; ASHRAE Std 55)</t>
  </si>
  <si>
    <t>Spacing</t>
  </si>
  <si>
    <t>Q'' adjusted</t>
  </si>
  <si>
    <t>V'' correction factor</t>
  </si>
  <si>
    <t>correction v' factor</t>
  </si>
  <si>
    <t>V'' corrected</t>
  </si>
  <si>
    <t>hmin</t>
  </si>
  <si>
    <t>T element setting</t>
  </si>
  <si>
    <t>DN250-DN500: With base module and thermal actuator set to __ (22°C/26°C/30°C, default 26°C).</t>
  </si>
  <si>
    <t>DN710: With thermal actuator set to __ (22°C/26°C/30°C, default 26°C). AVAILABLE IN 2018.</t>
  </si>
  <si>
    <t>Maximum Static Pressure</t>
  </si>
  <si>
    <t>Average Dist</t>
  </si>
  <si>
    <t>ACCEPT</t>
  </si>
  <si>
    <t>Average</t>
  </si>
  <si>
    <t>dist spec flow rate</t>
  </si>
  <si>
    <t>Specific Flow rate</t>
  </si>
  <si>
    <t>Max Permissible Static Pressure [Pa]</t>
  </si>
  <si>
    <t>Mean PMV ^</t>
  </si>
  <si>
    <t>Selected Airflow</t>
  </si>
  <si>
    <t>Format</t>
  </si>
  <si>
    <t>Min Permissible Airflow</t>
  </si>
  <si>
    <t>Max Heating</t>
  </si>
  <si>
    <t>Thermal element setting</t>
  </si>
  <si>
    <t xml:space="preserve">Max Heating ΔT </t>
  </si>
  <si>
    <t>Mean Draught Rating</t>
  </si>
  <si>
    <t>Mean PMV *</t>
  </si>
  <si>
    <t>* ISO7730; ASHRAE Std 55</t>
  </si>
  <si>
    <t>Sound Power level</t>
  </si>
  <si>
    <t xml:space="preserve">Cmin </t>
  </si>
  <si>
    <t>C select</t>
  </si>
  <si>
    <t>Top box</t>
  </si>
  <si>
    <t>box 2</t>
  </si>
  <si>
    <t>box 3</t>
  </si>
  <si>
    <t>room box</t>
  </si>
  <si>
    <t>Spec. airflow</t>
  </si>
  <si>
    <t>input diffuser height</t>
  </si>
  <si>
    <t xml:space="preserve">Direction Adjustment </t>
  </si>
  <si>
    <t>Comfort Performance &amp; Recommended Layout</t>
  </si>
  <si>
    <t>Face Shape</t>
  </si>
  <si>
    <t>E1</t>
  </si>
  <si>
    <t>Manual*</t>
  </si>
  <si>
    <t>E2</t>
  </si>
  <si>
    <t>Face Size</t>
  </si>
  <si>
    <t>C375</t>
  </si>
  <si>
    <t>C530</t>
  </si>
  <si>
    <t>C750</t>
  </si>
  <si>
    <t>C1000</t>
  </si>
  <si>
    <t>custom</t>
  </si>
  <si>
    <t>S345</t>
  </si>
  <si>
    <t>S595</t>
  </si>
  <si>
    <t>S445</t>
  </si>
  <si>
    <t>S603</t>
  </si>
  <si>
    <t>N/A</t>
  </si>
  <si>
    <t>SELECTION</t>
  </si>
  <si>
    <t>size</t>
  </si>
  <si>
    <t>Shape</t>
  </si>
  <si>
    <t>Table</t>
  </si>
  <si>
    <t>Electric motor 2-10V</t>
  </si>
  <si>
    <t>C1420</t>
  </si>
  <si>
    <t>Selection Code</t>
  </si>
  <si>
    <t>Mode Code</t>
  </si>
  <si>
    <r>
      <t>other</t>
    </r>
    <r>
      <rPr>
        <sz val="10"/>
        <color theme="1"/>
        <rFont val="Calibri"/>
        <family val="2"/>
      </rPr>
      <t>^</t>
    </r>
  </si>
  <si>
    <t>Copyright © 2019 SMARTAIR DIFFUSION</t>
  </si>
  <si>
    <t>Is Min C &gt; Max C</t>
  </si>
  <si>
    <t>Max C</t>
  </si>
  <si>
    <t>Min C</t>
  </si>
  <si>
    <t>Min&gt;Max?</t>
  </si>
  <si>
    <t>Warning: Maximum Permissible ΔT &lt; Selected ΔT (heating) when guide ring is fully down</t>
  </si>
  <si>
    <t>room temp</t>
  </si>
  <si>
    <t>max heating</t>
  </si>
  <si>
    <t>guide ring</t>
  </si>
  <si>
    <t>Guide Ring</t>
  </si>
  <si>
    <t>selected heating dt</t>
  </si>
  <si>
    <t>Selection</t>
  </si>
  <si>
    <t>Manual mode</t>
  </si>
  <si>
    <t>Manual adjustment</t>
  </si>
  <si>
    <t>adjusted heating height</t>
  </si>
  <si>
    <t>v 5.4 [08/19]</t>
  </si>
  <si>
    <r>
      <t>[m</t>
    </r>
    <r>
      <rPr>
        <vertAlign val="superscript"/>
        <sz val="11"/>
        <color theme="0" tint="-4.9989318521683403E-2"/>
        <rFont val="Calibri"/>
        <family val="2"/>
      </rPr>
      <t>3</t>
    </r>
    <r>
      <rPr>
        <sz val="11"/>
        <color theme="0" tint="-4.9989318521683403E-2"/>
        <rFont val="Calibri"/>
        <family val="2"/>
      </rPr>
      <t>/h]</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</si>
</sst>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64" formatCode="0.0"/>
    <numFmt numFmtId="165" formatCode="0.000"/>
    <numFmt numFmtId="166" formatCode="0.0000"/>
    <numFmt numFmtId="167" formatCode="0.00000"/>
    <numFmt numFmtId="168" formatCode="0.0%"/>
    <numFmt numFmtId="169" formatCode="\+\ 0.0;\-\ 0.0;\ 0.0"/>
    <numFmt numFmtId="170" formatCode="0\ &quot;mm&quot;"/>
  </numFmts>
  <fonts count="86">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sz val="11"/>
      <color rgb="FFFA7D00"/>
      <name val="Calibri"/>
      <family val="2"/>
      <scheme val="minor"/>
    </font>
    <font>
      <b/>
      <sz val="11"/>
      <color theme="1"/>
      <name val="Calibri"/>
      <family val="2"/>
      <scheme val="minor"/>
    </font>
    <font>
      <sz val="11"/>
      <color theme="1"/>
      <name val="Calibri"/>
      <family val="2"/>
    </font>
    <font>
      <b/>
      <sz val="16"/>
      <color rgb="FFFF9900"/>
      <name val="Calibri"/>
      <family val="2"/>
    </font>
    <font>
      <sz val="14"/>
      <color rgb="FFFF9900"/>
      <name val="Calibri"/>
      <family val="2"/>
    </font>
    <font>
      <b/>
      <sz val="11"/>
      <color rgb="FFA6A6A6"/>
      <name val="Calibri"/>
      <family val="2"/>
    </font>
    <font>
      <sz val="18"/>
      <color rgb="FF1F497D"/>
      <name val="Cambria"/>
      <family val="2"/>
    </font>
    <font>
      <b/>
      <sz val="16"/>
      <color rgb="FFFFFFFF"/>
      <name val="Calibri"/>
      <family val="2"/>
    </font>
    <font>
      <b/>
      <sz val="15"/>
      <color rgb="FF000000"/>
      <name val="Calibri"/>
      <family val="2"/>
    </font>
    <font>
      <b/>
      <sz val="11"/>
      <color rgb="FFFFFFFF"/>
      <name val="Calibri"/>
      <family val="2"/>
    </font>
    <font>
      <b/>
      <sz val="11"/>
      <color rgb="FF808080"/>
      <name val="Calibri"/>
      <family val="2"/>
    </font>
    <font>
      <b/>
      <sz val="11"/>
      <name val="Calibri"/>
      <family val="2"/>
    </font>
    <font>
      <sz val="11"/>
      <color rgb="FF595959"/>
      <name val="Calibri"/>
      <family val="2"/>
    </font>
    <font>
      <sz val="11"/>
      <color rgb="FFA6A6A6"/>
      <name val="Calibri"/>
      <family val="2"/>
    </font>
    <font>
      <sz val="9"/>
      <color rgb="FF808080"/>
      <name val="Calibri"/>
      <family val="2"/>
    </font>
    <font>
      <b/>
      <sz val="9"/>
      <color rgb="FF808080"/>
      <name val="Calibri"/>
      <family val="2"/>
    </font>
    <font>
      <sz val="12"/>
      <color rgb="FF000000"/>
      <name val="Calibri"/>
      <family val="2"/>
    </font>
    <font>
      <b/>
      <sz val="11"/>
      <color rgb="FF000000"/>
      <name val="Calibri"/>
      <family val="2"/>
    </font>
    <font>
      <b/>
      <sz val="15"/>
      <color theme="1"/>
      <name val="Calibri"/>
      <family val="2"/>
    </font>
    <font>
      <b/>
      <sz val="12"/>
      <color theme="1" tint="0.14999847407452621"/>
      <name val="Calibri"/>
      <family val="2"/>
    </font>
    <font>
      <sz val="12"/>
      <color theme="1" tint="0.14999847407452621"/>
      <name val="Calibri"/>
      <family val="2"/>
    </font>
    <font>
      <sz val="11"/>
      <color theme="1"/>
      <name val="Calibri"/>
      <family val="2"/>
      <scheme val="minor"/>
    </font>
    <font>
      <sz val="11"/>
      <color theme="2" tint="-0.499984740745262"/>
      <name val="Calibri"/>
      <family val="2"/>
      <scheme val="minor"/>
    </font>
    <font>
      <b/>
      <sz val="12"/>
      <color theme="0" tint="-0.499984740745262"/>
      <name val="Calibri"/>
      <family val="2"/>
    </font>
    <font>
      <b/>
      <sz val="11"/>
      <color theme="0" tint="-0.499984740745262"/>
      <name val="Calibri"/>
      <family val="2"/>
    </font>
    <font>
      <sz val="11"/>
      <color theme="0" tint="-0.499984740745262"/>
      <name val="Calibri"/>
      <family val="2"/>
    </font>
    <font>
      <sz val="11"/>
      <color theme="0" tint="-0.249977111117893"/>
      <name val="Calibri"/>
      <family val="2"/>
      <scheme val="minor"/>
    </font>
    <font>
      <b/>
      <sz val="12"/>
      <color theme="1"/>
      <name val="Calibri"/>
      <family val="2"/>
    </font>
    <font>
      <b/>
      <sz val="11"/>
      <color theme="1"/>
      <name val="Calibri"/>
      <family val="2"/>
    </font>
    <font>
      <b/>
      <sz val="11"/>
      <color theme="1" tint="0.34998626667073579"/>
      <name val="Calibri"/>
      <family val="2"/>
      <scheme val="minor"/>
    </font>
    <font>
      <sz val="9"/>
      <color theme="1"/>
      <name val="Calibri"/>
      <family val="2"/>
    </font>
    <font>
      <sz val="11"/>
      <color theme="1" tint="0.499984740745262"/>
      <name val="Calibri"/>
      <family val="2"/>
    </font>
    <font>
      <sz val="11"/>
      <color theme="1" tint="0.34998626667073579"/>
      <name val="Calibri"/>
      <family val="2"/>
    </font>
    <font>
      <sz val="11"/>
      <color theme="1" tint="0.499984740745262"/>
      <name val="Calibri"/>
      <family val="2"/>
      <scheme val="minor"/>
    </font>
    <font>
      <b/>
      <sz val="11"/>
      <color theme="1" tint="0.499984740745262"/>
      <name val="Calibri"/>
      <family val="2"/>
    </font>
    <font>
      <sz val="10"/>
      <color theme="1"/>
      <name val="Calibri"/>
      <family val="2"/>
      <scheme val="minor"/>
    </font>
    <font>
      <sz val="8"/>
      <color rgb="FF000000"/>
      <name val="Segoe UI"/>
      <family val="2"/>
    </font>
    <font>
      <sz val="10"/>
      <color theme="1" tint="0.34998626667073579"/>
      <name val="Calibri"/>
      <family val="2"/>
    </font>
    <font>
      <sz val="10"/>
      <color theme="1"/>
      <name val="Calibri"/>
      <family val="2"/>
    </font>
    <font>
      <sz val="10"/>
      <color rgb="FFC00000"/>
      <name val="Calibri"/>
      <family val="2"/>
    </font>
    <font>
      <b/>
      <sz val="11"/>
      <color theme="3"/>
      <name val="Calibri"/>
      <family val="2"/>
      <scheme val="minor"/>
    </font>
    <font>
      <sz val="11"/>
      <color theme="0"/>
      <name val="Calibri"/>
      <family val="2"/>
      <scheme val="minor"/>
    </font>
    <font>
      <b/>
      <sz val="15"/>
      <color theme="1"/>
      <name val="Calibri"/>
      <family val="2"/>
      <scheme val="minor"/>
    </font>
    <font>
      <b/>
      <sz val="12"/>
      <color theme="1"/>
      <name val="Calibri"/>
      <family val="2"/>
      <scheme val="minor"/>
    </font>
    <font>
      <sz val="10"/>
      <color theme="1" tint="0.249977111117893"/>
      <name val="Calibri"/>
      <family val="2"/>
    </font>
    <font>
      <sz val="10"/>
      <color theme="1" tint="0.249977111117893"/>
      <name val="Calibri"/>
      <family val="2"/>
      <scheme val="minor"/>
    </font>
    <font>
      <sz val="10"/>
      <color rgb="FFC00000"/>
      <name val="Calibri"/>
      <family val="2"/>
      <scheme val="minor"/>
    </font>
    <font>
      <b/>
      <sz val="16"/>
      <color rgb="FFFF9900"/>
      <name val="Calibri"/>
      <family val="2"/>
      <scheme val="minor"/>
    </font>
    <font>
      <sz val="14"/>
      <color rgb="FFFF9900"/>
      <name val="Calibri"/>
      <family val="2"/>
      <scheme val="minor"/>
    </font>
    <font>
      <b/>
      <sz val="11"/>
      <color theme="0" tint="-0.34998626667073579"/>
      <name val="Calibri"/>
      <family val="2"/>
      <scheme val="minor"/>
    </font>
    <font>
      <b/>
      <sz val="12"/>
      <name val="Calibri"/>
      <family val="2"/>
    </font>
    <font>
      <b/>
      <sz val="12"/>
      <name val="Calibri"/>
      <family val="2"/>
      <scheme val="minor"/>
    </font>
    <font>
      <sz val="12"/>
      <color theme="1"/>
      <name val="Calibri"/>
      <family val="2"/>
      <scheme val="minor"/>
    </font>
    <font>
      <sz val="12"/>
      <name val="Calibri"/>
      <family val="2"/>
      <scheme val="minor"/>
    </font>
    <font>
      <sz val="11"/>
      <color theme="1"/>
      <name val="Webdings"/>
      <family val="1"/>
      <charset val="2"/>
    </font>
    <font>
      <b/>
      <vertAlign val="subscript"/>
      <sz val="12"/>
      <color theme="1"/>
      <name val="Calibri"/>
      <family val="2"/>
      <scheme val="minor"/>
    </font>
    <font>
      <sz val="11"/>
      <color theme="1"/>
      <name val="Wingdings"/>
      <charset val="2"/>
    </font>
    <font>
      <sz val="12"/>
      <color theme="0"/>
      <name val="Calibri"/>
      <family val="2"/>
      <scheme val="minor"/>
    </font>
    <font>
      <u/>
      <sz val="11"/>
      <color theme="10"/>
      <name val="Calibri"/>
      <family val="2"/>
      <scheme val="minor"/>
    </font>
    <font>
      <sz val="11"/>
      <color theme="5"/>
      <name val="Calibri"/>
      <family val="2"/>
      <scheme val="minor"/>
    </font>
    <font>
      <b/>
      <sz val="11"/>
      <color theme="0" tint="-0.14999847407452621"/>
      <name val="Calibri"/>
      <family val="2"/>
    </font>
    <font>
      <sz val="12"/>
      <color theme="1"/>
      <name val="Proxima Nova Lt"/>
      <family val="3"/>
    </font>
    <font>
      <sz val="16"/>
      <color theme="1"/>
      <name val="Cambria"/>
      <family val="1"/>
    </font>
    <font>
      <b/>
      <sz val="16"/>
      <color theme="1"/>
      <name val="Cambria"/>
      <family val="1"/>
    </font>
    <font>
      <sz val="10"/>
      <color theme="0" tint="-4.9989318521683403E-2"/>
      <name val="Calibri"/>
      <family val="2"/>
    </font>
    <font>
      <sz val="24"/>
      <color theme="1"/>
      <name val="Times New Roman"/>
      <family val="1"/>
    </font>
    <font>
      <b/>
      <sz val="16"/>
      <color theme="1"/>
      <name val="Times New Roman"/>
      <family val="1"/>
    </font>
    <font>
      <sz val="12"/>
      <color theme="1"/>
      <name val="Times New Roman"/>
      <family val="1"/>
    </font>
    <font>
      <sz val="10"/>
      <color theme="1"/>
      <name val="Times New Roman"/>
      <family val="1"/>
    </font>
    <font>
      <sz val="10"/>
      <color theme="0" tint="-4.9989318521683403E-2"/>
      <name val="Calibri"/>
      <family val="2"/>
      <scheme val="minor"/>
    </font>
    <font>
      <sz val="11"/>
      <color theme="1" tint="0.249977111117893"/>
      <name val="Calibri"/>
      <family val="2"/>
    </font>
    <font>
      <b/>
      <sz val="11"/>
      <color theme="1" tint="0.14999847407452621"/>
      <name val="Calibri"/>
      <family val="2"/>
    </font>
    <font>
      <sz val="11"/>
      <color theme="1" tint="0.14999847407452621"/>
      <name val="Calibri"/>
      <family val="2"/>
    </font>
    <font>
      <sz val="11"/>
      <color theme="0" tint="-0.499984740745262"/>
      <name val="Calibri"/>
      <family val="2"/>
      <scheme val="minor"/>
    </font>
    <font>
      <sz val="11"/>
      <name val="Calibri"/>
      <family val="2"/>
      <scheme val="minor"/>
    </font>
    <font>
      <sz val="10"/>
      <color theme="1" tint="0.499984740745262"/>
      <name val="Calibri"/>
      <family val="2"/>
    </font>
    <font>
      <b/>
      <sz val="10"/>
      <color theme="1"/>
      <name val="Times New Roman"/>
      <family val="1"/>
    </font>
    <font>
      <sz val="9"/>
      <color theme="1"/>
      <name val="Times New Roman"/>
      <family val="1"/>
    </font>
    <font>
      <sz val="8"/>
      <name val="Calibri"/>
      <family val="2"/>
      <scheme val="minor"/>
    </font>
    <font>
      <i/>
      <sz val="10"/>
      <color theme="1" tint="0.249977111117893"/>
      <name val="Calibri"/>
      <family val="2"/>
      <scheme val="minor"/>
    </font>
    <font>
      <sz val="11"/>
      <color theme="0" tint="-4.9989318521683403E-2"/>
      <name val="Calibri"/>
      <family val="2"/>
    </font>
    <font>
      <vertAlign val="superscript"/>
      <sz val="11"/>
      <color theme="0" tint="-4.9989318521683403E-2"/>
      <name val="Calibri"/>
      <family val="2"/>
    </font>
  </fonts>
  <fills count="13">
    <fill>
      <patternFill patternType="none"/>
    </fill>
    <fill>
      <patternFill patternType="gray125"/>
    </fill>
    <fill>
      <patternFill patternType="solid">
        <fgColor rgb="FF262626"/>
        <bgColor rgb="FF000000"/>
      </patternFill>
    </fill>
    <fill>
      <patternFill patternType="solid">
        <fgColor rgb="FFF2F2F2"/>
        <bgColor rgb="FF000000"/>
      </patternFill>
    </fill>
    <fill>
      <patternFill patternType="solid">
        <fgColor rgb="FFFFFFFF"/>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4.9989318521683403E-2"/>
        <bgColor rgb="FF000000"/>
      </patternFill>
    </fill>
    <fill>
      <patternFill patternType="solid">
        <fgColor theme="0" tint="-0.14999847407452621"/>
        <bgColor rgb="FF000000"/>
      </patternFill>
    </fill>
    <fill>
      <patternFill patternType="solid">
        <fgColor theme="1" tint="0.14999847407452621"/>
        <bgColor rgb="FF000000"/>
      </patternFill>
    </fill>
    <fill>
      <patternFill patternType="solid">
        <fgColor theme="0"/>
        <bgColor indexed="64"/>
      </patternFill>
    </fill>
    <fill>
      <patternFill patternType="solid">
        <fgColor theme="0"/>
        <bgColor rgb="FF000000"/>
      </patternFill>
    </fill>
    <fill>
      <patternFill patternType="solid">
        <fgColor theme="1" tint="0.14999847407452621"/>
        <bgColor indexed="64"/>
      </patternFill>
    </fill>
  </fills>
  <borders count="90">
    <border>
      <left/>
      <right/>
      <top/>
      <bottom/>
      <diagonal/>
    </border>
    <border>
      <left/>
      <right/>
      <top/>
      <bottom style="thick">
        <color theme="4"/>
      </bottom>
      <diagonal/>
    </border>
    <border>
      <left/>
      <right/>
      <top/>
      <bottom style="thick">
        <color theme="4" tint="0.499984740745262"/>
      </bottom>
      <diagonal/>
    </border>
    <border>
      <left/>
      <right/>
      <top/>
      <bottom style="double">
        <color rgb="FFFF8001"/>
      </bottom>
      <diagonal/>
    </border>
    <border>
      <left style="thin">
        <color rgb="FFBFBFBF"/>
      </left>
      <right/>
      <top style="thin">
        <color rgb="FFBFBFBF"/>
      </top>
      <bottom/>
      <diagonal/>
    </border>
    <border>
      <left style="thin">
        <color rgb="FF262626"/>
      </left>
      <right/>
      <top style="thin">
        <color rgb="FFBFBFBF"/>
      </top>
      <bottom/>
      <diagonal/>
    </border>
    <border>
      <left/>
      <right/>
      <top style="thin">
        <color rgb="FFBFBFBF"/>
      </top>
      <bottom/>
      <diagonal/>
    </border>
    <border>
      <left/>
      <right style="thin">
        <color rgb="FFBFBFBF"/>
      </right>
      <top/>
      <bottom/>
      <diagonal/>
    </border>
    <border>
      <left style="thin">
        <color rgb="FFBFBFBF"/>
      </left>
      <right/>
      <top/>
      <bottom/>
      <diagonal/>
    </border>
    <border>
      <left style="thin">
        <color rgb="FF262626"/>
      </left>
      <right/>
      <top/>
      <bottom/>
      <diagonal/>
    </border>
    <border>
      <left/>
      <right/>
      <top/>
      <bottom style="thick">
        <color rgb="FFBFBFBF"/>
      </bottom>
      <diagonal/>
    </border>
    <border>
      <left style="thin">
        <color rgb="FFE26B0A"/>
      </left>
      <right style="thin">
        <color rgb="FFE26B0A"/>
      </right>
      <top style="thin">
        <color rgb="FFE26B0A"/>
      </top>
      <bottom style="double">
        <color rgb="FFF79646"/>
      </bottom>
      <diagonal/>
    </border>
    <border>
      <left/>
      <right/>
      <top/>
      <bottom style="thin">
        <color rgb="FFE26B0A"/>
      </bottom>
      <diagonal/>
    </border>
    <border>
      <left style="thin">
        <color rgb="FFE26B0A"/>
      </left>
      <right style="thin">
        <color rgb="FFE26B0A"/>
      </right>
      <top style="thin">
        <color rgb="FFE26B0A"/>
      </top>
      <bottom style="double">
        <color rgb="FFFF8001"/>
      </bottom>
      <diagonal/>
    </border>
    <border>
      <left/>
      <right/>
      <top/>
      <bottom style="thin">
        <color theme="0" tint="-0.249977111117893"/>
      </bottom>
      <diagonal/>
    </border>
    <border>
      <left style="thin">
        <color rgb="FFBFBFBF"/>
      </left>
      <right/>
      <top/>
      <bottom style="thin">
        <color theme="0" tint="-0.34998626667073579"/>
      </bottom>
      <diagonal/>
    </border>
    <border>
      <left/>
      <right/>
      <top/>
      <bottom style="thin">
        <color theme="0" tint="-0.34998626667073579"/>
      </bottom>
      <diagonal/>
    </border>
    <border>
      <left/>
      <right style="thin">
        <color rgb="FFBFBFBF"/>
      </right>
      <top/>
      <bottom style="thin">
        <color theme="0" tint="-0.34998626667073579"/>
      </bottom>
      <diagonal/>
    </border>
    <border>
      <left/>
      <right/>
      <top/>
      <bottom style="thin">
        <color indexed="64"/>
      </bottom>
      <diagonal/>
    </border>
    <border>
      <left/>
      <right style="medium">
        <color theme="1" tint="0.34998626667073579"/>
      </right>
      <top/>
      <bottom/>
      <diagonal/>
    </border>
    <border>
      <left/>
      <right style="thin">
        <color theme="0" tint="-0.34998626667073579"/>
      </right>
      <top/>
      <bottom style="thin">
        <color indexed="64"/>
      </bottom>
      <diagonal/>
    </border>
    <border>
      <left/>
      <right style="thin">
        <color theme="0" tint="-0.34998626667073579"/>
      </right>
      <top/>
      <bottom/>
      <diagonal/>
    </border>
    <border>
      <left/>
      <right style="medium">
        <color theme="1" tint="0.34998626667073579"/>
      </right>
      <top/>
      <bottom style="thin">
        <color theme="0" tint="-0.249977111117893"/>
      </bottom>
      <diagonal/>
    </border>
    <border>
      <left style="thin">
        <color theme="0" tint="-0.34998626667073579"/>
      </left>
      <right style="medium">
        <color theme="1" tint="0.34998626667073579"/>
      </right>
      <top/>
      <bottom/>
      <diagonal/>
    </border>
    <border>
      <left style="thin">
        <color theme="0" tint="-0.34998626667073579"/>
      </left>
      <right style="medium">
        <color theme="1" tint="0.34998626667073579"/>
      </right>
      <top/>
      <bottom style="thin">
        <color indexed="64"/>
      </bottom>
      <diagonal/>
    </border>
    <border>
      <left/>
      <right/>
      <top style="thin">
        <color theme="0" tint="-0.34998626667073579"/>
      </top>
      <bottom/>
      <diagonal/>
    </border>
    <border>
      <left style="medium">
        <color theme="1" tint="0.34998626667073579"/>
      </left>
      <right style="thin">
        <color theme="0" tint="-0.34998626667073579"/>
      </right>
      <top/>
      <bottom style="thin">
        <color theme="1" tint="0.249977111117893"/>
      </bottom>
      <diagonal/>
    </border>
    <border>
      <left style="thin">
        <color theme="0" tint="-0.34998626667073579"/>
      </left>
      <right style="medium">
        <color theme="1" tint="0.34998626667073579"/>
      </right>
      <top/>
      <bottom style="thin">
        <color theme="1" tint="0.249977111117893"/>
      </bottom>
      <diagonal/>
    </border>
    <border>
      <left/>
      <right style="thin">
        <color theme="0" tint="-0.34998626667073579"/>
      </right>
      <top/>
      <bottom style="thin">
        <color theme="1" tint="0.249977111117893"/>
      </bottom>
      <diagonal/>
    </border>
    <border>
      <left/>
      <right style="medium">
        <color theme="1" tint="0.34998626667073579"/>
      </right>
      <top/>
      <bottom style="thin">
        <color theme="1" tint="0.249977111117893"/>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medium">
        <color theme="1" tint="0.34998626667073579"/>
      </left>
      <right style="thin">
        <color theme="0" tint="-0.34998626667073579"/>
      </right>
      <top/>
      <bottom/>
      <diagonal/>
    </border>
    <border>
      <left style="thin">
        <color theme="0" tint="-0.34998626667073579"/>
      </left>
      <right style="medium">
        <color theme="1" tint="0.34998626667073579"/>
      </right>
      <top style="thin">
        <color theme="1" tint="0.249977111117893"/>
      </top>
      <bottom style="thin">
        <color theme="1" tint="0.249977111117893"/>
      </bottom>
      <diagonal/>
    </border>
    <border>
      <left/>
      <right style="thin">
        <color theme="0" tint="-0.34998626667073579"/>
      </right>
      <top style="thin">
        <color theme="1" tint="0.249977111117893"/>
      </top>
      <bottom style="thin">
        <color theme="1" tint="0.249977111117893"/>
      </bottom>
      <diagonal/>
    </border>
    <border>
      <left/>
      <right style="medium">
        <color theme="1" tint="0.34998626667073579"/>
      </right>
      <top style="thin">
        <color theme="1" tint="0.249977111117893"/>
      </top>
      <bottom style="thin">
        <color theme="1" tint="0.249977111117893"/>
      </bottom>
      <diagonal/>
    </border>
    <border>
      <left/>
      <right/>
      <top style="thin">
        <color theme="0" tint="-0.249977111117893"/>
      </top>
      <bottom style="thin">
        <color theme="0" tint="-0.249977111117893"/>
      </bottom>
      <diagonal/>
    </border>
    <border>
      <left style="medium">
        <color theme="1" tint="0.249977111117893"/>
      </left>
      <right style="thin">
        <color theme="0" tint="-0.34998626667073579"/>
      </right>
      <top style="thin">
        <color theme="1" tint="0.249977111117893"/>
      </top>
      <bottom style="thin">
        <color theme="1" tint="0.249977111117893"/>
      </bottom>
      <diagonal/>
    </border>
    <border>
      <left/>
      <right/>
      <top/>
      <bottom style="thin">
        <color theme="1" tint="0.249977111117893"/>
      </bottom>
      <diagonal/>
    </border>
    <border>
      <left/>
      <right/>
      <top/>
      <bottom style="medium">
        <color theme="0" tint="-0.249977111117893"/>
      </bottom>
      <diagonal/>
    </border>
    <border>
      <left/>
      <right/>
      <top style="thin">
        <color theme="0" tint="-0.249977111117893"/>
      </top>
      <bottom style="medium">
        <color theme="0" tint="-0.249977111117893"/>
      </bottom>
      <diagonal/>
    </border>
    <border>
      <left/>
      <right/>
      <top/>
      <bottom style="thin">
        <color theme="1"/>
      </bottom>
      <diagonal/>
    </border>
    <border>
      <left/>
      <right/>
      <top style="medium">
        <color theme="0" tint="-0.249977111117893"/>
      </top>
      <bottom/>
      <diagonal/>
    </border>
    <border>
      <left style="thin">
        <color theme="1" tint="0.14996795556505021"/>
      </left>
      <right/>
      <top style="thin">
        <color theme="1" tint="0.14996795556505021"/>
      </top>
      <bottom/>
      <diagonal/>
    </border>
    <border>
      <left/>
      <right/>
      <top style="thin">
        <color theme="1" tint="0.14996795556505021"/>
      </top>
      <bottom/>
      <diagonal/>
    </border>
    <border>
      <left/>
      <right style="thin">
        <color theme="1" tint="0.14996795556505021"/>
      </right>
      <top style="thin">
        <color theme="1" tint="0.14996795556505021"/>
      </top>
      <bottom/>
      <diagonal/>
    </border>
    <border>
      <left style="thin">
        <color theme="1" tint="0.14996795556505021"/>
      </left>
      <right/>
      <top/>
      <bottom/>
      <diagonal/>
    </border>
    <border>
      <left/>
      <right style="thin">
        <color theme="1" tint="0.14996795556505021"/>
      </right>
      <top/>
      <bottom/>
      <diagonal/>
    </border>
    <border>
      <left style="thin">
        <color theme="0" tint="-0.14999847407452621"/>
      </left>
      <right/>
      <top style="thin">
        <color theme="0" tint="-0.14999847407452621"/>
      </top>
      <bottom/>
      <diagonal/>
    </border>
    <border>
      <left/>
      <right/>
      <top style="thin">
        <color theme="0" tint="-0.14999847407452621"/>
      </top>
      <bottom/>
      <diagonal/>
    </border>
    <border>
      <left/>
      <right style="thin">
        <color theme="0" tint="-0.14999847407452621"/>
      </right>
      <top style="thin">
        <color theme="0" tint="-0.14999847407452621"/>
      </top>
      <bottom/>
      <diagonal/>
    </border>
    <border>
      <left style="thin">
        <color theme="0" tint="-0.14999847407452621"/>
      </left>
      <right/>
      <top/>
      <bottom/>
      <diagonal/>
    </border>
    <border>
      <left/>
      <right style="thin">
        <color theme="0" tint="-0.14999847407452621"/>
      </right>
      <top/>
      <bottom/>
      <diagonal/>
    </border>
    <border>
      <left style="thin">
        <color theme="0" tint="-0.14999847407452621"/>
      </left>
      <right/>
      <top/>
      <bottom style="thin">
        <color theme="0" tint="-0.14999847407452621"/>
      </bottom>
      <diagonal/>
    </border>
    <border>
      <left/>
      <right/>
      <top/>
      <bottom style="thin">
        <color theme="0" tint="-0.14999847407452621"/>
      </bottom>
      <diagonal/>
    </border>
    <border>
      <left/>
      <right style="thin">
        <color theme="0" tint="-0.14999847407452621"/>
      </right>
      <top/>
      <bottom style="thin">
        <color theme="0" tint="-0.14999847407452621"/>
      </bottom>
      <diagonal/>
    </border>
    <border>
      <left/>
      <right style="thin">
        <color theme="0" tint="-0.249977111117893"/>
      </right>
      <top/>
      <bottom/>
      <diagonal/>
    </border>
    <border>
      <left style="thin">
        <color theme="0" tint="-0.249977111117893"/>
      </left>
      <right style="thin">
        <color theme="0" tint="-0.249977111117893"/>
      </right>
      <top/>
      <bottom style="thin">
        <color theme="0" tint="-0.249977111117893"/>
      </bottom>
      <diagonal/>
    </border>
    <border>
      <left style="thin">
        <color theme="0" tint="-0.249977111117893"/>
      </left>
      <right style="thin">
        <color theme="0" tint="-0.249977111117893"/>
      </right>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249977111117893"/>
      </left>
      <right/>
      <top/>
      <bottom/>
      <diagonal/>
    </border>
    <border>
      <left style="thin">
        <color theme="0" tint="-0.249977111117893"/>
      </left>
      <right/>
      <top/>
      <bottom style="thin">
        <color theme="0" tint="-0.249977111117893"/>
      </bottom>
      <diagonal/>
    </border>
    <border>
      <left/>
      <right style="medium">
        <color theme="1" tint="0.34998626667073579"/>
      </right>
      <top style="thin">
        <color theme="0" tint="-0.249977111117893"/>
      </top>
      <bottom style="medium">
        <color theme="0" tint="-0.249977111117893"/>
      </bottom>
      <diagonal/>
    </border>
    <border>
      <left style="medium">
        <color theme="1" tint="0.34998626667073579"/>
      </left>
      <right style="thin">
        <color theme="0" tint="-0.34998626667073579"/>
      </right>
      <top style="thin">
        <color theme="1" tint="0.249977111117893"/>
      </top>
      <bottom style="medium">
        <color theme="1" tint="0.249977111117893"/>
      </bottom>
      <diagonal/>
    </border>
    <border>
      <left style="thin">
        <color theme="0" tint="-0.34998626667073579"/>
      </left>
      <right style="medium">
        <color theme="1" tint="0.34998626667073579"/>
      </right>
      <top style="thin">
        <color theme="1" tint="0.249977111117893"/>
      </top>
      <bottom style="medium">
        <color theme="1" tint="0.249977111117893"/>
      </bottom>
      <diagonal/>
    </border>
    <border>
      <left/>
      <right style="thin">
        <color theme="0" tint="-0.34998626667073579"/>
      </right>
      <top style="thin">
        <color theme="1" tint="0.249977111117893"/>
      </top>
      <bottom style="medium">
        <color theme="1" tint="0.249977111117893"/>
      </bottom>
      <diagonal/>
    </border>
    <border>
      <left/>
      <right style="medium">
        <color theme="1" tint="0.34998626667073579"/>
      </right>
      <top style="thin">
        <color theme="1" tint="0.249977111117893"/>
      </top>
      <bottom style="medium">
        <color theme="1" tint="0.249977111117893"/>
      </bottom>
      <diagonal/>
    </border>
    <border>
      <left style="medium">
        <color theme="1" tint="0.34998626667073579"/>
      </left>
      <right style="thin">
        <color theme="0" tint="-0.34998626667073579"/>
      </right>
      <top/>
      <bottom style="thin">
        <color indexed="64"/>
      </bottom>
      <diagonal/>
    </border>
    <border>
      <left style="medium">
        <color theme="1" tint="0.34998626667073579"/>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medium">
        <color indexed="64"/>
      </right>
      <top/>
      <bottom/>
      <diagonal/>
    </border>
    <border>
      <left style="medium">
        <color theme="1" tint="0.34998626667073579"/>
      </left>
      <right style="medium">
        <color indexed="64"/>
      </right>
      <top style="thin">
        <color indexed="64"/>
      </top>
      <bottom style="medium">
        <color indexed="64"/>
      </bottom>
      <diagonal/>
    </border>
    <border>
      <left style="medium">
        <color theme="1" tint="0.34998626667073579"/>
      </left>
      <right style="medium">
        <color indexed="64"/>
      </right>
      <top/>
      <bottom/>
      <diagonal/>
    </border>
    <border>
      <left style="medium">
        <color theme="1" tint="0.34998626667073579"/>
      </left>
      <right style="medium">
        <color indexed="64"/>
      </right>
      <top style="thin">
        <color indexed="64"/>
      </top>
      <bottom/>
      <diagonal/>
    </border>
    <border>
      <left style="medium">
        <color theme="1" tint="0.34998626667073579"/>
      </left>
      <right style="medium">
        <color indexed="64"/>
      </right>
      <top/>
      <bottom style="thin">
        <color indexed="64"/>
      </bottom>
      <diagonal/>
    </border>
    <border>
      <left style="medium">
        <color indexed="64"/>
      </left>
      <right/>
      <top/>
      <bottom/>
      <diagonal/>
    </border>
    <border>
      <left/>
      <right style="medium">
        <color indexed="64"/>
      </right>
      <top/>
      <bottom style="thin">
        <color indexed="64"/>
      </bottom>
      <diagonal/>
    </border>
    <border>
      <left style="medium">
        <color theme="1" tint="0.34998626667073579"/>
      </left>
      <right style="thin">
        <color theme="0" tint="-0.34998626667073579"/>
      </right>
      <top/>
      <bottom style="thin">
        <color theme="1" tint="0.14999847407452621"/>
      </bottom>
      <diagonal/>
    </border>
    <border>
      <left style="thin">
        <color theme="0" tint="-0.34998626667073579"/>
      </left>
      <right style="medium">
        <color theme="1" tint="0.34998626667073579"/>
      </right>
      <top/>
      <bottom style="thin">
        <color theme="1" tint="0.14999847407452621"/>
      </bottom>
      <diagonal/>
    </border>
    <border>
      <left/>
      <right style="thin">
        <color theme="0" tint="-0.34998626667073579"/>
      </right>
      <top/>
      <bottom style="thin">
        <color theme="1" tint="0.14999847407452621"/>
      </bottom>
      <diagonal/>
    </border>
    <border>
      <left/>
      <right style="medium">
        <color theme="1" tint="0.34998626667073579"/>
      </right>
      <top/>
      <bottom style="thin">
        <color theme="1" tint="0.14999847407452621"/>
      </bottom>
      <diagonal/>
    </border>
    <border>
      <left style="medium">
        <color theme="1" tint="0.34998626667073579"/>
      </left>
      <right/>
      <top/>
      <bottom/>
      <diagonal/>
    </border>
    <border>
      <left style="medium">
        <color theme="1" tint="0.249977111117893"/>
      </left>
      <right/>
      <top/>
      <bottom/>
      <diagonal/>
    </border>
    <border>
      <left style="medium">
        <color theme="1" tint="0.14999847407452621"/>
      </left>
      <right/>
      <top/>
      <bottom/>
      <diagonal/>
    </border>
    <border>
      <left style="thin">
        <color theme="0" tint="-0.34998626667073579"/>
      </left>
      <right style="medium">
        <color theme="2" tint="-0.749992370372631"/>
      </right>
      <top/>
      <bottom/>
      <diagonal/>
    </border>
    <border>
      <left style="thin">
        <color theme="0" tint="-0.34998626667073579"/>
      </left>
      <right style="medium">
        <color theme="1" tint="0.249977111117893"/>
      </right>
      <top/>
      <bottom/>
      <diagonal/>
    </border>
    <border>
      <left/>
      <right style="thin">
        <color theme="0" tint="-0.249977111117893"/>
      </right>
      <top style="thin">
        <color rgb="FFBFBFBF"/>
      </top>
      <bottom/>
      <diagonal/>
    </border>
  </borders>
  <cellStyleXfs count="8">
    <xf numFmtId="0" fontId="0" fillId="0" borderId="0"/>
    <xf numFmtId="0" fontId="1" fillId="0" borderId="0" applyNumberForma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4" fillId="0" borderId="3" applyNumberFormat="0" applyFill="0" applyAlignment="0" applyProtection="0"/>
    <xf numFmtId="9" fontId="25" fillId="0" borderId="0" applyFont="0" applyFill="0" applyBorder="0" applyAlignment="0" applyProtection="0"/>
    <xf numFmtId="0" fontId="44" fillId="0" borderId="0" applyNumberFormat="0" applyFill="0" applyBorder="0" applyAlignment="0" applyProtection="0"/>
    <xf numFmtId="0" fontId="62" fillId="0" borderId="0" applyNumberFormat="0" applyFill="0" applyBorder="0" applyAlignment="0" applyProtection="0"/>
  </cellStyleXfs>
  <cellXfs count="361">
    <xf numFmtId="0" fontId="0" fillId="0" borderId="0" xfId="0"/>
    <xf numFmtId="0" fontId="6" fillId="2" borderId="4" xfId="0" applyFont="1" applyFill="1" applyBorder="1"/>
    <xf numFmtId="0" fontId="6" fillId="2" borderId="5" xfId="0" applyFont="1" applyFill="1" applyBorder="1"/>
    <xf numFmtId="0" fontId="6" fillId="2" borderId="6" xfId="0" applyFont="1" applyFill="1" applyBorder="1"/>
    <xf numFmtId="0" fontId="6" fillId="2" borderId="0" xfId="0" applyFont="1" applyFill="1"/>
    <xf numFmtId="0" fontId="6" fillId="2" borderId="7" xfId="0" applyFont="1" applyFill="1" applyBorder="1"/>
    <xf numFmtId="0" fontId="6" fillId="2" borderId="8" xfId="0" applyFont="1" applyFill="1" applyBorder="1"/>
    <xf numFmtId="0" fontId="7" fillId="2" borderId="0" xfId="0" applyFont="1" applyFill="1"/>
    <xf numFmtId="0" fontId="9" fillId="2" borderId="0" xfId="0" applyFont="1" applyFill="1" applyAlignment="1">
      <alignment vertical="center"/>
    </xf>
    <xf numFmtId="0" fontId="9" fillId="2" borderId="7" xfId="0" applyFont="1" applyFill="1" applyBorder="1" applyAlignment="1">
      <alignment vertical="center"/>
    </xf>
    <xf numFmtId="0" fontId="11" fillId="2" borderId="0" xfId="1" applyFont="1" applyFill="1"/>
    <xf numFmtId="0" fontId="6" fillId="2" borderId="9" xfId="0" applyFont="1" applyFill="1" applyBorder="1"/>
    <xf numFmtId="0" fontId="10" fillId="2" borderId="0" xfId="1" applyFont="1" applyFill="1"/>
    <xf numFmtId="0" fontId="6" fillId="3" borderId="8" xfId="0" applyFont="1" applyFill="1" applyBorder="1"/>
    <xf numFmtId="0" fontId="6" fillId="3" borderId="0" xfId="0" applyFont="1" applyFill="1"/>
    <xf numFmtId="0" fontId="6" fillId="3" borderId="7" xfId="0" applyFont="1" applyFill="1" applyBorder="1"/>
    <xf numFmtId="0" fontId="12" fillId="3" borderId="10" xfId="2" applyFont="1" applyFill="1" applyBorder="1" applyAlignment="1">
      <alignment horizontal="left"/>
    </xf>
    <xf numFmtId="0" fontId="6" fillId="3" borderId="0" xfId="0" applyFont="1" applyFill="1" applyAlignment="1">
      <alignment horizontal="right"/>
    </xf>
    <xf numFmtId="0" fontId="14" fillId="3" borderId="0" xfId="0" applyFont="1" applyFill="1" applyAlignment="1">
      <alignment horizontal="right"/>
    </xf>
    <xf numFmtId="0" fontId="15" fillId="4" borderId="11" xfId="4" applyFont="1" applyFill="1" applyBorder="1" applyAlignment="1" applyProtection="1">
      <alignment horizontal="center" vertical="center"/>
      <protection locked="0"/>
    </xf>
    <xf numFmtId="0" fontId="16" fillId="3" borderId="0" xfId="0" applyFont="1" applyFill="1"/>
    <xf numFmtId="0" fontId="17" fillId="3" borderId="0" xfId="0" applyFont="1" applyFill="1"/>
    <xf numFmtId="0" fontId="6" fillId="3" borderId="0" xfId="0" applyFont="1" applyFill="1" applyAlignment="1">
      <alignment horizontal="center"/>
    </xf>
    <xf numFmtId="164" fontId="15" fillId="4" borderId="13" xfId="4" applyNumberFormat="1" applyFont="1" applyFill="1" applyBorder="1" applyAlignment="1" applyProtection="1">
      <alignment horizontal="center" vertical="center"/>
      <protection locked="0"/>
    </xf>
    <xf numFmtId="0" fontId="17" fillId="3" borderId="0" xfId="0" applyFont="1" applyFill="1" applyAlignment="1">
      <alignment horizontal="left"/>
    </xf>
    <xf numFmtId="0" fontId="21" fillId="3" borderId="0" xfId="0" applyFont="1" applyFill="1"/>
    <xf numFmtId="0" fontId="20" fillId="3" borderId="0" xfId="0" applyFont="1" applyFill="1"/>
    <xf numFmtId="0" fontId="2" fillId="0" borderId="1" xfId="2"/>
    <xf numFmtId="0" fontId="3" fillId="0" borderId="2" xfId="3"/>
    <xf numFmtId="11" fontId="0" fillId="0" borderId="0" xfId="0" applyNumberFormat="1"/>
    <xf numFmtId="2" fontId="0" fillId="0" borderId="0" xfId="0" applyNumberFormat="1"/>
    <xf numFmtId="0" fontId="5" fillId="0" borderId="0" xfId="0" applyFont="1"/>
    <xf numFmtId="165" fontId="0" fillId="0" borderId="0" xfId="0" applyNumberFormat="1"/>
    <xf numFmtId="167" fontId="0" fillId="0" borderId="0" xfId="0" applyNumberFormat="1"/>
    <xf numFmtId="166" fontId="0" fillId="0" borderId="0" xfId="0" applyNumberFormat="1"/>
    <xf numFmtId="0" fontId="0" fillId="0" borderId="0" xfId="0" applyAlignment="1">
      <alignment horizontal="center" vertical="center"/>
    </xf>
    <xf numFmtId="0" fontId="6" fillId="3" borderId="14" xfId="0" applyFont="1" applyFill="1" applyBorder="1"/>
    <xf numFmtId="0" fontId="22" fillId="3" borderId="0" xfId="0" applyFont="1" applyFill="1"/>
    <xf numFmtId="0" fontId="23" fillId="3" borderId="0" xfId="0" applyFont="1" applyFill="1" applyAlignment="1">
      <alignment vertical="center"/>
    </xf>
    <xf numFmtId="0" fontId="14" fillId="3" borderId="14" xfId="0" applyFont="1" applyFill="1" applyBorder="1" applyAlignment="1">
      <alignment horizontal="right"/>
    </xf>
    <xf numFmtId="0" fontId="6" fillId="3" borderId="15" xfId="0" applyFont="1" applyFill="1" applyBorder="1"/>
    <xf numFmtId="0" fontId="6" fillId="3" borderId="16" xfId="0" applyFont="1" applyFill="1" applyBorder="1"/>
    <xf numFmtId="0" fontId="21" fillId="3" borderId="16" xfId="0" applyFont="1" applyFill="1" applyBorder="1"/>
    <xf numFmtId="0" fontId="20" fillId="3" borderId="16" xfId="0" applyFont="1" applyFill="1" applyBorder="1"/>
    <xf numFmtId="0" fontId="0" fillId="0" borderId="0" xfId="0" applyAlignment="1">
      <alignment horizontal="center"/>
    </xf>
    <xf numFmtId="0" fontId="0" fillId="0" borderId="18" xfId="0" applyBorder="1"/>
    <xf numFmtId="9" fontId="0" fillId="0" borderId="0" xfId="5" applyFont="1"/>
    <xf numFmtId="9" fontId="0" fillId="0" borderId="0" xfId="0" applyNumberFormat="1"/>
    <xf numFmtId="10" fontId="0" fillId="0" borderId="0" xfId="5" applyNumberFormat="1" applyFont="1"/>
    <xf numFmtId="10" fontId="0" fillId="0" borderId="0" xfId="0" applyNumberFormat="1"/>
    <xf numFmtId="1" fontId="0" fillId="0" borderId="0" xfId="0" applyNumberFormat="1"/>
    <xf numFmtId="0" fontId="26" fillId="0" borderId="0" xfId="0" applyFont="1"/>
    <xf numFmtId="164" fontId="0" fillId="0" borderId="0" xfId="0" applyNumberFormat="1"/>
    <xf numFmtId="0" fontId="27" fillId="3" borderId="0" xfId="0" applyFont="1" applyFill="1" applyAlignment="1">
      <alignment vertical="center"/>
    </xf>
    <xf numFmtId="0" fontId="28" fillId="3" borderId="0" xfId="0" applyFont="1" applyFill="1" applyAlignment="1">
      <alignment horizontal="right"/>
    </xf>
    <xf numFmtId="0" fontId="32" fillId="3" borderId="0" xfId="0" applyFont="1" applyFill="1" applyAlignment="1">
      <alignment horizontal="right"/>
    </xf>
    <xf numFmtId="0" fontId="20" fillId="3" borderId="25" xfId="0" applyFont="1" applyFill="1" applyBorder="1"/>
    <xf numFmtId="0" fontId="0" fillId="6" borderId="0" xfId="0" applyFill="1"/>
    <xf numFmtId="0" fontId="6" fillId="7" borderId="0" xfId="0" applyFont="1" applyFill="1"/>
    <xf numFmtId="0" fontId="14" fillId="7" borderId="0" xfId="0" applyFont="1" applyFill="1" applyAlignment="1">
      <alignment horizontal="right"/>
    </xf>
    <xf numFmtId="0" fontId="16" fillId="7" borderId="0" xfId="0" applyFont="1" applyFill="1"/>
    <xf numFmtId="0" fontId="33" fillId="5" borderId="14" xfId="0" applyFont="1" applyFill="1" applyBorder="1" applyAlignment="1">
      <alignment vertical="top"/>
    </xf>
    <xf numFmtId="0" fontId="0" fillId="5" borderId="14" xfId="0" applyFill="1" applyBorder="1" applyAlignment="1">
      <alignment vertical="top"/>
    </xf>
    <xf numFmtId="0" fontId="0" fillId="5" borderId="0" xfId="0" applyFill="1"/>
    <xf numFmtId="0" fontId="6" fillId="8" borderId="0" xfId="0" applyFont="1" applyFill="1"/>
    <xf numFmtId="0" fontId="6" fillId="8" borderId="7" xfId="0" applyFont="1" applyFill="1" applyBorder="1"/>
    <xf numFmtId="0" fontId="6" fillId="8" borderId="10" xfId="0" applyFont="1" applyFill="1" applyBorder="1"/>
    <xf numFmtId="0" fontId="14" fillId="8" borderId="0" xfId="0" applyFont="1" applyFill="1" applyAlignment="1">
      <alignment horizontal="right" vertical="center"/>
    </xf>
    <xf numFmtId="0" fontId="16" fillId="8" borderId="0" xfId="0" applyFont="1" applyFill="1"/>
    <xf numFmtId="0" fontId="17" fillId="8" borderId="0" xfId="0" applyFont="1" applyFill="1"/>
    <xf numFmtId="0" fontId="14" fillId="8" borderId="0" xfId="0" applyFont="1" applyFill="1" applyAlignment="1">
      <alignment horizontal="right"/>
    </xf>
    <xf numFmtId="0" fontId="30" fillId="5" borderId="0" xfId="0" applyFont="1" applyFill="1" applyAlignment="1">
      <alignment horizontal="right"/>
    </xf>
    <xf numFmtId="0" fontId="14" fillId="8" borderId="0" xfId="0" applyFont="1" applyFill="1"/>
    <xf numFmtId="0" fontId="18" fillId="8" borderId="0" xfId="0" applyFont="1" applyFill="1" applyAlignment="1">
      <alignment horizontal="right" vertical="center"/>
    </xf>
    <xf numFmtId="0" fontId="18" fillId="8" borderId="0" xfId="0" applyFont="1" applyFill="1" applyAlignment="1">
      <alignment vertical="center"/>
    </xf>
    <xf numFmtId="0" fontId="20" fillId="8" borderId="16" xfId="0" applyFont="1" applyFill="1" applyBorder="1"/>
    <xf numFmtId="0" fontId="6" fillId="8" borderId="16" xfId="0" applyFont="1" applyFill="1" applyBorder="1"/>
    <xf numFmtId="0" fontId="6" fillId="8" borderId="17" xfId="0" applyFont="1" applyFill="1" applyBorder="1"/>
    <xf numFmtId="0" fontId="12" fillId="8" borderId="10" xfId="2" applyFont="1" applyFill="1" applyBorder="1"/>
    <xf numFmtId="9" fontId="15" fillId="7" borderId="11" xfId="5" applyFont="1" applyFill="1" applyBorder="1" applyAlignment="1" applyProtection="1">
      <alignment horizontal="center" vertical="center"/>
      <protection locked="0"/>
    </xf>
    <xf numFmtId="0" fontId="15" fillId="7" borderId="11" xfId="4" applyFont="1" applyFill="1" applyBorder="1" applyAlignment="1" applyProtection="1">
      <alignment horizontal="center" vertical="center"/>
      <protection locked="0"/>
    </xf>
    <xf numFmtId="0" fontId="15" fillId="7" borderId="13" xfId="4" applyFont="1" applyFill="1" applyBorder="1" applyAlignment="1" applyProtection="1">
      <alignment horizontal="center" vertical="center"/>
      <protection locked="0"/>
    </xf>
    <xf numFmtId="2" fontId="0" fillId="0" borderId="0" xfId="5" applyNumberFormat="1" applyFont="1"/>
    <xf numFmtId="0" fontId="34" fillId="3" borderId="0" xfId="0" applyFont="1" applyFill="1" applyAlignment="1">
      <alignment horizontal="right" vertical="center"/>
    </xf>
    <xf numFmtId="0" fontId="34" fillId="3" borderId="0" xfId="0" applyFont="1" applyFill="1" applyAlignment="1">
      <alignment vertical="center"/>
    </xf>
    <xf numFmtId="0" fontId="35" fillId="8" borderId="0" xfId="0" applyFont="1" applyFill="1"/>
    <xf numFmtId="0" fontId="36" fillId="8" borderId="0" xfId="0" applyFont="1" applyFill="1"/>
    <xf numFmtId="0" fontId="29" fillId="8" borderId="0" xfId="0" applyFont="1" applyFill="1"/>
    <xf numFmtId="0" fontId="37" fillId="5" borderId="0" xfId="0" applyFont="1" applyFill="1"/>
    <xf numFmtId="0" fontId="38" fillId="8" borderId="0" xfId="0" applyFont="1" applyFill="1" applyAlignment="1">
      <alignment horizontal="left" vertical="center" indent="2"/>
    </xf>
    <xf numFmtId="164" fontId="15" fillId="7" borderId="11" xfId="4" applyNumberFormat="1" applyFont="1" applyFill="1" applyBorder="1" applyAlignment="1" applyProtection="1">
      <alignment horizontal="center" vertical="center"/>
      <protection locked="0"/>
    </xf>
    <xf numFmtId="168" fontId="24" fillId="3" borderId="0" xfId="5" applyNumberFormat="1" applyFont="1" applyFill="1" applyAlignment="1">
      <alignment horizontal="center" vertical="center"/>
    </xf>
    <xf numFmtId="0" fontId="0" fillId="0" borderId="0" xfId="0" applyProtection="1">
      <protection locked="0"/>
    </xf>
    <xf numFmtId="0" fontId="29" fillId="5" borderId="0" xfId="0" applyFont="1" applyFill="1"/>
    <xf numFmtId="0" fontId="27" fillId="3" borderId="14" xfId="0" applyFont="1" applyFill="1" applyBorder="1" applyAlignment="1">
      <alignment vertical="center"/>
    </xf>
    <xf numFmtId="0" fontId="28" fillId="3" borderId="14" xfId="0" applyFont="1" applyFill="1" applyBorder="1" applyAlignment="1">
      <alignment horizontal="right"/>
    </xf>
    <xf numFmtId="0" fontId="39" fillId="6" borderId="0" xfId="0" applyFont="1" applyFill="1" applyAlignment="1">
      <alignment horizontal="right" vertical="center"/>
    </xf>
    <xf numFmtId="0" fontId="39" fillId="10" borderId="30" xfId="0" applyFont="1" applyFill="1" applyBorder="1" applyAlignment="1">
      <alignment horizontal="center" vertical="center"/>
    </xf>
    <xf numFmtId="0" fontId="39" fillId="5" borderId="30" xfId="0" applyFont="1" applyFill="1" applyBorder="1" applyAlignment="1">
      <alignment horizontal="center" vertical="center"/>
    </xf>
    <xf numFmtId="0" fontId="23" fillId="3" borderId="35" xfId="0" applyFont="1" applyFill="1" applyBorder="1" applyAlignment="1">
      <alignment vertical="center"/>
    </xf>
    <xf numFmtId="0" fontId="14" fillId="3" borderId="35" xfId="0" applyFont="1" applyFill="1" applyBorder="1" applyAlignment="1">
      <alignment horizontal="right"/>
    </xf>
    <xf numFmtId="0" fontId="41" fillId="8" borderId="0" xfId="0" applyFont="1" applyFill="1" applyAlignment="1">
      <alignment horizontal="right" vertical="center"/>
    </xf>
    <xf numFmtId="0" fontId="41" fillId="8" borderId="0" xfId="0" applyFont="1" applyFill="1" applyAlignment="1">
      <alignment vertical="center"/>
    </xf>
    <xf numFmtId="0" fontId="36" fillId="8" borderId="0" xfId="0" applyFont="1" applyFill="1" applyAlignment="1">
      <alignment horizontal="right" vertical="center" indent="2"/>
    </xf>
    <xf numFmtId="0" fontId="16" fillId="3" borderId="37" xfId="0" applyFont="1" applyFill="1" applyBorder="1"/>
    <xf numFmtId="0" fontId="17" fillId="3" borderId="37" xfId="0" applyFont="1" applyFill="1" applyBorder="1"/>
    <xf numFmtId="0" fontId="18" fillId="3" borderId="37" xfId="0" applyFont="1" applyFill="1" applyBorder="1" applyAlignment="1">
      <alignment horizontal="right" vertical="center"/>
    </xf>
    <xf numFmtId="0" fontId="18" fillId="3" borderId="37" xfId="0" applyFont="1" applyFill="1" applyBorder="1" applyAlignment="1">
      <alignment vertical="center"/>
    </xf>
    <xf numFmtId="0" fontId="6" fillId="3" borderId="37" xfId="0" applyFont="1" applyFill="1" applyBorder="1"/>
    <xf numFmtId="0" fontId="23" fillId="11" borderId="20" xfId="0" applyFont="1" applyFill="1" applyBorder="1" applyAlignment="1">
      <alignment horizontal="center" vertical="center"/>
    </xf>
    <xf numFmtId="0" fontId="23" fillId="11" borderId="24" xfId="0" applyFont="1" applyFill="1" applyBorder="1" applyAlignment="1">
      <alignment horizontal="center" vertical="center"/>
    </xf>
    <xf numFmtId="164" fontId="23" fillId="11" borderId="21" xfId="0" applyNumberFormat="1" applyFont="1" applyFill="1" applyBorder="1" applyAlignment="1">
      <alignment horizontal="center" vertical="center"/>
    </xf>
    <xf numFmtId="164" fontId="23" fillId="11" borderId="23" xfId="0" applyNumberFormat="1" applyFont="1" applyFill="1" applyBorder="1" applyAlignment="1">
      <alignment horizontal="center" vertical="center"/>
    </xf>
    <xf numFmtId="164" fontId="23" fillId="11" borderId="19" xfId="0" applyNumberFormat="1" applyFont="1" applyFill="1" applyBorder="1" applyAlignment="1">
      <alignment horizontal="center" vertical="center"/>
    </xf>
    <xf numFmtId="164" fontId="27" fillId="11" borderId="21" xfId="0" applyNumberFormat="1" applyFont="1" applyFill="1" applyBorder="1" applyAlignment="1">
      <alignment horizontal="center" vertical="center"/>
    </xf>
    <xf numFmtId="164" fontId="27" fillId="11" borderId="23" xfId="0" applyNumberFormat="1" applyFont="1" applyFill="1" applyBorder="1" applyAlignment="1">
      <alignment horizontal="center" vertical="center"/>
    </xf>
    <xf numFmtId="164" fontId="27" fillId="11" borderId="19" xfId="0" applyNumberFormat="1" applyFont="1" applyFill="1" applyBorder="1" applyAlignment="1">
      <alignment horizontal="center" vertical="center"/>
    </xf>
    <xf numFmtId="164" fontId="27" fillId="11" borderId="26" xfId="0" applyNumberFormat="1" applyFont="1" applyFill="1" applyBorder="1" applyAlignment="1">
      <alignment horizontal="center" vertical="center"/>
    </xf>
    <xf numFmtId="164" fontId="27" fillId="11" borderId="27" xfId="0" applyNumberFormat="1" applyFont="1" applyFill="1" applyBorder="1" applyAlignment="1">
      <alignment horizontal="center" vertical="center"/>
    </xf>
    <xf numFmtId="164" fontId="27" fillId="11" borderId="28" xfId="0" applyNumberFormat="1" applyFont="1" applyFill="1" applyBorder="1" applyAlignment="1">
      <alignment horizontal="center" vertical="center"/>
    </xf>
    <xf numFmtId="164" fontId="27" fillId="11" borderId="29" xfId="0" applyNumberFormat="1" applyFont="1" applyFill="1" applyBorder="1" applyAlignment="1">
      <alignment horizontal="center" vertical="center"/>
    </xf>
    <xf numFmtId="164" fontId="23" fillId="11" borderId="36" xfId="0" applyNumberFormat="1" applyFont="1" applyFill="1" applyBorder="1" applyAlignment="1">
      <alignment horizontal="center" vertical="center"/>
    </xf>
    <xf numFmtId="164" fontId="23" fillId="11" borderId="32" xfId="0" applyNumberFormat="1" applyFont="1" applyFill="1" applyBorder="1" applyAlignment="1">
      <alignment horizontal="center" vertical="center"/>
    </xf>
    <xf numFmtId="164" fontId="23" fillId="11" borderId="33" xfId="0" applyNumberFormat="1" applyFont="1" applyFill="1" applyBorder="1" applyAlignment="1">
      <alignment horizontal="center" vertical="center"/>
    </xf>
    <xf numFmtId="164" fontId="23" fillId="11" borderId="34" xfId="0" applyNumberFormat="1" applyFont="1" applyFill="1" applyBorder="1" applyAlignment="1">
      <alignment horizontal="center" vertical="center"/>
    </xf>
    <xf numFmtId="2" fontId="23" fillId="11" borderId="21" xfId="0" applyNumberFormat="1" applyFont="1" applyFill="1" applyBorder="1" applyAlignment="1">
      <alignment horizontal="center" vertical="center"/>
    </xf>
    <xf numFmtId="2" fontId="23" fillId="11" borderId="23" xfId="0" applyNumberFormat="1" applyFont="1" applyFill="1" applyBorder="1" applyAlignment="1">
      <alignment horizontal="center" vertical="center"/>
    </xf>
    <xf numFmtId="2" fontId="23" fillId="11" borderId="19" xfId="0" applyNumberFormat="1" applyFont="1" applyFill="1" applyBorder="1" applyAlignment="1">
      <alignment horizontal="center" vertical="center"/>
    </xf>
    <xf numFmtId="168" fontId="23" fillId="11" borderId="21" xfId="5" applyNumberFormat="1" applyFont="1" applyFill="1" applyBorder="1" applyAlignment="1">
      <alignment horizontal="center" vertical="center"/>
    </xf>
    <xf numFmtId="168" fontId="23" fillId="11" borderId="23" xfId="5" applyNumberFormat="1" applyFont="1" applyFill="1" applyBorder="1" applyAlignment="1">
      <alignment horizontal="center" vertical="center"/>
    </xf>
    <xf numFmtId="168" fontId="23" fillId="11" borderId="19" xfId="5" applyNumberFormat="1" applyFont="1" applyFill="1" applyBorder="1" applyAlignment="1">
      <alignment horizontal="center" vertical="center"/>
    </xf>
    <xf numFmtId="0" fontId="42" fillId="3" borderId="0" xfId="0" applyFont="1" applyFill="1" applyAlignment="1">
      <alignment horizontal="right" vertical="center"/>
    </xf>
    <xf numFmtId="0" fontId="42" fillId="3" borderId="0" xfId="0" applyFont="1" applyFill="1" applyAlignment="1">
      <alignment horizontal="left" vertical="center"/>
    </xf>
    <xf numFmtId="0" fontId="46" fillId="5" borderId="0" xfId="6" applyFont="1" applyFill="1" applyAlignment="1">
      <alignment vertical="center"/>
    </xf>
    <xf numFmtId="0" fontId="47" fillId="5" borderId="14" xfId="6" applyFont="1" applyFill="1" applyBorder="1" applyAlignment="1">
      <alignment vertical="center"/>
    </xf>
    <xf numFmtId="0" fontId="6" fillId="8" borderId="8" xfId="0" applyFont="1" applyFill="1" applyBorder="1"/>
    <xf numFmtId="0" fontId="34" fillId="8" borderId="0" xfId="0" applyFont="1" applyFill="1" applyAlignment="1">
      <alignment horizontal="right" vertical="center"/>
    </xf>
    <xf numFmtId="0" fontId="34" fillId="8" borderId="0" xfId="0" applyFont="1" applyFill="1" applyAlignment="1">
      <alignment vertical="center"/>
    </xf>
    <xf numFmtId="0" fontId="14" fillId="8" borderId="35" xfId="0" applyFont="1" applyFill="1" applyBorder="1" applyAlignment="1">
      <alignment horizontal="right"/>
    </xf>
    <xf numFmtId="0" fontId="6" fillId="8" borderId="35" xfId="0" applyFont="1" applyFill="1" applyBorder="1"/>
    <xf numFmtId="0" fontId="47" fillId="5" borderId="39" xfId="6" applyFont="1" applyFill="1" applyBorder="1" applyAlignment="1">
      <alignment vertical="center"/>
    </xf>
    <xf numFmtId="0" fontId="14" fillId="8" borderId="39" xfId="0" applyFont="1" applyFill="1" applyBorder="1" applyAlignment="1">
      <alignment horizontal="right"/>
    </xf>
    <xf numFmtId="0" fontId="6" fillId="8" borderId="39" xfId="0" applyFont="1" applyFill="1" applyBorder="1"/>
    <xf numFmtId="0" fontId="46" fillId="5" borderId="0" xfId="6" applyFont="1" applyFill="1"/>
    <xf numFmtId="0" fontId="0" fillId="0" borderId="40" xfId="0" applyBorder="1"/>
    <xf numFmtId="0" fontId="6" fillId="8" borderId="0" xfId="0" applyFont="1" applyFill="1" applyAlignment="1">
      <alignment horizontal="left" vertical="center" indent="3"/>
    </xf>
    <xf numFmtId="0" fontId="39" fillId="5" borderId="0" xfId="0" quotePrefix="1" applyFont="1" applyFill="1" applyAlignment="1">
      <alignment horizontal="left" vertical="center"/>
    </xf>
    <xf numFmtId="0" fontId="39" fillId="5" borderId="38" xfId="0" applyFont="1" applyFill="1" applyBorder="1" applyAlignment="1">
      <alignment vertical="center"/>
    </xf>
    <xf numFmtId="0" fontId="6" fillId="8" borderId="38" xfId="0" applyFont="1" applyFill="1" applyBorder="1" applyAlignment="1">
      <alignment horizontal="left" vertical="center" indent="3"/>
    </xf>
    <xf numFmtId="0" fontId="6" fillId="8" borderId="38" xfId="0" applyFont="1" applyFill="1" applyBorder="1" applyAlignment="1">
      <alignment horizontal="center" vertical="center"/>
    </xf>
    <xf numFmtId="0" fontId="34" fillId="8" borderId="38" xfId="0" applyFont="1" applyFill="1" applyBorder="1" applyAlignment="1">
      <alignment horizontal="center" vertical="center"/>
    </xf>
    <xf numFmtId="0" fontId="34" fillId="8" borderId="38" xfId="0" applyFont="1" applyFill="1" applyBorder="1" applyAlignment="1">
      <alignment vertical="center"/>
    </xf>
    <xf numFmtId="0" fontId="49" fillId="5" borderId="0" xfId="0" quotePrefix="1" applyFont="1" applyFill="1" applyAlignment="1">
      <alignment horizontal="left" vertical="center"/>
    </xf>
    <xf numFmtId="0" fontId="50" fillId="10" borderId="30" xfId="0" applyFont="1" applyFill="1" applyBorder="1" applyAlignment="1">
      <alignment horizontal="center" vertical="center"/>
    </xf>
    <xf numFmtId="0" fontId="0" fillId="12" borderId="42" xfId="0" applyFill="1" applyBorder="1"/>
    <xf numFmtId="0" fontId="0" fillId="12" borderId="43" xfId="0" applyFill="1" applyBorder="1"/>
    <xf numFmtId="0" fontId="0" fillId="12" borderId="0" xfId="0" applyFill="1"/>
    <xf numFmtId="0" fontId="0" fillId="12" borderId="44" xfId="0" applyFill="1" applyBorder="1"/>
    <xf numFmtId="0" fontId="0" fillId="12" borderId="45" xfId="0" applyFill="1" applyBorder="1"/>
    <xf numFmtId="0" fontId="51" fillId="12" borderId="0" xfId="0" applyFont="1" applyFill="1"/>
    <xf numFmtId="0" fontId="53" fillId="12" borderId="0" xfId="0" applyFont="1" applyFill="1" applyAlignment="1">
      <alignment vertical="center"/>
    </xf>
    <xf numFmtId="0" fontId="1" fillId="12" borderId="0" xfId="1" applyFill="1"/>
    <xf numFmtId="0" fontId="0" fillId="12" borderId="46" xfId="0" applyFill="1" applyBorder="1"/>
    <xf numFmtId="0" fontId="55" fillId="6" borderId="14" xfId="6" applyFont="1" applyFill="1" applyBorder="1" applyAlignment="1">
      <alignment horizontal="left"/>
    </xf>
    <xf numFmtId="0" fontId="47" fillId="6" borderId="14" xfId="0" applyFont="1" applyFill="1" applyBorder="1"/>
    <xf numFmtId="0" fontId="0" fillId="6" borderId="47" xfId="0" applyFill="1" applyBorder="1"/>
    <xf numFmtId="0" fontId="0" fillId="6" borderId="48" xfId="0" applyFill="1" applyBorder="1"/>
    <xf numFmtId="0" fontId="0" fillId="6" borderId="49" xfId="0" applyFill="1" applyBorder="1"/>
    <xf numFmtId="0" fontId="0" fillId="6" borderId="50" xfId="0" applyFill="1" applyBorder="1"/>
    <xf numFmtId="0" fontId="0" fillId="6" borderId="51" xfId="0" applyFill="1" applyBorder="1"/>
    <xf numFmtId="0" fontId="0" fillId="6" borderId="14" xfId="0" applyFill="1" applyBorder="1"/>
    <xf numFmtId="0" fontId="0" fillId="6" borderId="52" xfId="0" applyFill="1" applyBorder="1"/>
    <xf numFmtId="0" fontId="0" fillId="6" borderId="53" xfId="0" applyFill="1" applyBorder="1"/>
    <xf numFmtId="0" fontId="0" fillId="6" borderId="54" xfId="0" applyFill="1" applyBorder="1"/>
    <xf numFmtId="0" fontId="57" fillId="6" borderId="0" xfId="6" applyFont="1" applyFill="1" applyAlignment="1">
      <alignment horizontal="left"/>
    </xf>
    <xf numFmtId="0" fontId="0" fillId="10" borderId="0" xfId="0" applyFill="1"/>
    <xf numFmtId="0" fontId="55" fillId="6" borderId="0" xfId="6" applyFont="1" applyFill="1" applyAlignment="1">
      <alignment horizontal="center" vertical="center"/>
    </xf>
    <xf numFmtId="0" fontId="47" fillId="6" borderId="56" xfId="0" applyFont="1" applyFill="1" applyBorder="1" applyAlignment="1">
      <alignment horizontal="center" vertical="center"/>
    </xf>
    <xf numFmtId="0" fontId="47" fillId="6" borderId="14" xfId="0" applyFont="1" applyFill="1" applyBorder="1" applyAlignment="1">
      <alignment horizontal="center" vertical="center"/>
    </xf>
    <xf numFmtId="0" fontId="54" fillId="11" borderId="11" xfId="4" applyFont="1" applyFill="1" applyBorder="1" applyAlignment="1" applyProtection="1">
      <alignment horizontal="center" vertical="center"/>
      <protection locked="0"/>
    </xf>
    <xf numFmtId="0" fontId="56" fillId="6" borderId="55" xfId="0" applyFont="1" applyFill="1" applyBorder="1" applyAlignment="1">
      <alignment horizontal="center" vertical="center"/>
    </xf>
    <xf numFmtId="0" fontId="56" fillId="6" borderId="57" xfId="0" applyFont="1" applyFill="1" applyBorder="1" applyAlignment="1">
      <alignment horizontal="center" vertical="center"/>
    </xf>
    <xf numFmtId="0" fontId="56" fillId="6" borderId="0" xfId="0" applyFont="1" applyFill="1" applyAlignment="1">
      <alignment horizontal="center" vertical="center"/>
    </xf>
    <xf numFmtId="0" fontId="49" fillId="6" borderId="0" xfId="0" applyFont="1" applyFill="1" applyAlignment="1">
      <alignment horizontal="left"/>
    </xf>
    <xf numFmtId="0" fontId="56" fillId="6" borderId="57" xfId="0" applyFont="1" applyFill="1" applyBorder="1" applyAlignment="1">
      <alignment horizontal="center" vertical="center" wrapText="1"/>
    </xf>
    <xf numFmtId="0" fontId="45" fillId="0" borderId="0" xfId="0" applyFont="1"/>
    <xf numFmtId="0" fontId="57" fillId="10" borderId="0" xfId="6" applyFont="1" applyFill="1" applyAlignment="1">
      <alignment horizontal="left"/>
    </xf>
    <xf numFmtId="0" fontId="56" fillId="10" borderId="0" xfId="0" applyFont="1" applyFill="1" applyAlignment="1">
      <alignment horizontal="center" vertical="center"/>
    </xf>
    <xf numFmtId="0" fontId="58" fillId="10" borderId="0" xfId="0" applyFont="1" applyFill="1"/>
    <xf numFmtId="0" fontId="60" fillId="10" borderId="0" xfId="0" applyFont="1" applyFill="1"/>
    <xf numFmtId="0" fontId="45" fillId="6" borderId="50" xfId="0" applyFont="1" applyFill="1" applyBorder="1"/>
    <xf numFmtId="0" fontId="45" fillId="10" borderId="0" xfId="0" applyFont="1" applyFill="1" applyAlignment="1">
      <alignment horizontal="left"/>
    </xf>
    <xf numFmtId="0" fontId="61" fillId="10" borderId="0" xfId="0" applyFont="1" applyFill="1" applyAlignment="1">
      <alignment horizontal="left" vertical="center"/>
    </xf>
    <xf numFmtId="0" fontId="6" fillId="9" borderId="58" xfId="0" applyFont="1" applyFill="1" applyBorder="1"/>
    <xf numFmtId="0" fontId="6" fillId="9" borderId="59" xfId="0" applyFont="1" applyFill="1" applyBorder="1"/>
    <xf numFmtId="0" fontId="14" fillId="9" borderId="59" xfId="0" applyFont="1" applyFill="1" applyBorder="1" applyAlignment="1">
      <alignment horizontal="right"/>
    </xf>
    <xf numFmtId="164" fontId="16" fillId="9" borderId="59" xfId="0" applyNumberFormat="1" applyFont="1" applyFill="1" applyBorder="1"/>
    <xf numFmtId="0" fontId="55" fillId="6" borderId="14" xfId="6" applyFont="1" applyFill="1" applyBorder="1" applyAlignment="1">
      <alignment horizontal="left" vertical="center"/>
    </xf>
    <xf numFmtId="0" fontId="0" fillId="6" borderId="50" xfId="0" applyFill="1" applyBorder="1" applyAlignment="1">
      <alignment vertical="center"/>
    </xf>
    <xf numFmtId="0" fontId="0" fillId="6" borderId="14" xfId="0" applyFill="1" applyBorder="1" applyAlignment="1">
      <alignment vertical="center"/>
    </xf>
    <xf numFmtId="0" fontId="0" fillId="6" borderId="0" xfId="0" applyFill="1" applyAlignment="1">
      <alignment vertical="center"/>
    </xf>
    <xf numFmtId="0" fontId="0" fillId="6" borderId="51" xfId="0" applyFill="1" applyBorder="1" applyAlignment="1">
      <alignment vertical="center"/>
    </xf>
    <xf numFmtId="0" fontId="0" fillId="0" borderId="0" xfId="0" applyAlignment="1">
      <alignment vertical="center"/>
    </xf>
    <xf numFmtId="0" fontId="57" fillId="6" borderId="0" xfId="6" applyFont="1" applyFill="1" applyAlignment="1">
      <alignment horizontal="left" vertical="center"/>
    </xf>
    <xf numFmtId="0" fontId="56" fillId="6" borderId="0" xfId="0" applyFont="1" applyFill="1" applyAlignment="1">
      <alignment vertical="center"/>
    </xf>
    <xf numFmtId="0" fontId="47" fillId="6" borderId="62" xfId="0" applyFont="1" applyFill="1" applyBorder="1" applyAlignment="1">
      <alignment vertical="center"/>
    </xf>
    <xf numFmtId="0" fontId="56" fillId="6" borderId="14" xfId="0" applyFont="1" applyFill="1" applyBorder="1" applyAlignment="1">
      <alignment vertical="center"/>
    </xf>
    <xf numFmtId="0" fontId="56" fillId="6" borderId="61" xfId="0" applyFont="1" applyFill="1" applyBorder="1" applyAlignment="1">
      <alignment vertical="center"/>
    </xf>
    <xf numFmtId="0" fontId="56" fillId="6" borderId="0" xfId="0" applyFont="1" applyFill="1" applyAlignment="1">
      <alignment horizontal="left" vertical="center"/>
    </xf>
    <xf numFmtId="0" fontId="23" fillId="3" borderId="39" xfId="0" applyFont="1" applyFill="1" applyBorder="1" applyAlignment="1">
      <alignment vertical="center"/>
    </xf>
    <xf numFmtId="0" fontId="14" fillId="3" borderId="39" xfId="0" applyFont="1" applyFill="1" applyBorder="1" applyAlignment="1">
      <alignment horizontal="right"/>
    </xf>
    <xf numFmtId="1" fontId="23" fillId="11" borderId="64" xfId="0" applyNumberFormat="1" applyFont="1" applyFill="1" applyBorder="1" applyAlignment="1">
      <alignment horizontal="center" vertical="center"/>
    </xf>
    <xf numFmtId="1" fontId="23" fillId="11" borderId="65" xfId="0" applyNumberFormat="1" applyFont="1" applyFill="1" applyBorder="1" applyAlignment="1">
      <alignment horizontal="center" vertical="center"/>
    </xf>
    <xf numFmtId="1" fontId="23" fillId="11" borderId="66" xfId="0" applyNumberFormat="1" applyFont="1" applyFill="1" applyBorder="1" applyAlignment="1">
      <alignment horizontal="center" vertical="center"/>
    </xf>
    <xf numFmtId="1" fontId="23" fillId="11" borderId="67" xfId="0" applyNumberFormat="1" applyFont="1" applyFill="1" applyBorder="1" applyAlignment="1">
      <alignment horizontal="center" vertical="center"/>
    </xf>
    <xf numFmtId="0" fontId="23" fillId="11" borderId="18" xfId="0" applyFont="1" applyFill="1" applyBorder="1" applyAlignment="1">
      <alignment horizontal="center" vertical="center"/>
    </xf>
    <xf numFmtId="0" fontId="23" fillId="11" borderId="68" xfId="0" applyFont="1" applyFill="1" applyBorder="1" applyAlignment="1">
      <alignment horizontal="center" vertical="center"/>
    </xf>
    <xf numFmtId="0" fontId="65" fillId="0" borderId="0" xfId="0" applyFont="1"/>
    <xf numFmtId="0" fontId="67" fillId="3" borderId="8" xfId="0" applyFont="1" applyFill="1" applyBorder="1"/>
    <xf numFmtId="0" fontId="67" fillId="3" borderId="14" xfId="0" applyFont="1" applyFill="1" applyBorder="1" applyAlignment="1">
      <alignment horizontal="left"/>
    </xf>
    <xf numFmtId="0" fontId="66" fillId="3" borderId="0" xfId="0" applyFont="1" applyFill="1" applyAlignment="1">
      <alignment horizontal="left"/>
    </xf>
    <xf numFmtId="0" fontId="66" fillId="3" borderId="0" xfId="0" applyFont="1" applyFill="1"/>
    <xf numFmtId="0" fontId="67" fillId="3" borderId="0" xfId="0" applyFont="1" applyFill="1" applyAlignment="1">
      <alignment horizontal="left"/>
    </xf>
    <xf numFmtId="169" fontId="15" fillId="7" borderId="13" xfId="4" applyNumberFormat="1" applyFont="1" applyFill="1" applyBorder="1" applyAlignment="1" applyProtection="1">
      <alignment horizontal="center" vertical="center"/>
      <protection locked="0"/>
    </xf>
    <xf numFmtId="1" fontId="0" fillId="0" borderId="0" xfId="5" applyNumberFormat="1" applyFont="1"/>
    <xf numFmtId="0" fontId="0" fillId="0" borderId="70" xfId="0" applyBorder="1"/>
    <xf numFmtId="0" fontId="0" fillId="0" borderId="71" xfId="0" applyBorder="1"/>
    <xf numFmtId="0" fontId="0" fillId="0" borderId="72" xfId="0" applyBorder="1"/>
    <xf numFmtId="2" fontId="0" fillId="0" borderId="18" xfId="0" applyNumberFormat="1" applyBorder="1"/>
    <xf numFmtId="170" fontId="0" fillId="6" borderId="0" xfId="0" applyNumberFormat="1" applyFill="1"/>
    <xf numFmtId="170" fontId="31" fillId="11" borderId="31" xfId="0" applyNumberFormat="1" applyFont="1" applyFill="1" applyBorder="1" applyAlignment="1">
      <alignment horizontal="center" vertical="center"/>
    </xf>
    <xf numFmtId="170" fontId="31" fillId="11" borderId="23" xfId="0" applyNumberFormat="1" applyFont="1" applyFill="1" applyBorder="1" applyAlignment="1">
      <alignment horizontal="center" vertical="center"/>
    </xf>
    <xf numFmtId="170" fontId="31" fillId="11" borderId="21" xfId="0" applyNumberFormat="1" applyFont="1" applyFill="1" applyBorder="1" applyAlignment="1">
      <alignment horizontal="center" vertical="center"/>
    </xf>
    <xf numFmtId="170" fontId="31" fillId="11" borderId="19" xfId="0" applyNumberFormat="1" applyFont="1" applyFill="1" applyBorder="1" applyAlignment="1">
      <alignment horizontal="center" vertical="center"/>
    </xf>
    <xf numFmtId="0" fontId="68" fillId="3" borderId="0" xfId="0" applyFont="1" applyFill="1" applyAlignment="1">
      <alignment horizontal="left" vertical="center"/>
    </xf>
    <xf numFmtId="0" fontId="6" fillId="8" borderId="0" xfId="0" applyFont="1" applyFill="1" applyAlignment="1">
      <alignment horizontal="center" vertical="center"/>
    </xf>
    <xf numFmtId="0" fontId="0" fillId="0" borderId="0" xfId="0" quotePrefix="1"/>
    <xf numFmtId="0" fontId="69" fillId="0" borderId="0" xfId="0" applyFont="1" applyAlignment="1">
      <alignment horizontal="left" vertical="center"/>
    </xf>
    <xf numFmtId="0" fontId="71" fillId="0" borderId="0" xfId="0" applyFont="1"/>
    <xf numFmtId="0" fontId="72" fillId="0" borderId="0" xfId="0" applyFont="1"/>
    <xf numFmtId="0" fontId="72" fillId="0" borderId="0" xfId="0" applyFont="1" applyAlignment="1">
      <alignment vertical="center"/>
    </xf>
    <xf numFmtId="0" fontId="73" fillId="6" borderId="0" xfId="0" applyFont="1" applyFill="1"/>
    <xf numFmtId="0" fontId="30" fillId="0" borderId="0" xfId="0" applyFont="1"/>
    <xf numFmtId="169" fontId="15" fillId="4" borderId="13" xfId="4" applyNumberFormat="1" applyFont="1" applyFill="1" applyBorder="1" applyAlignment="1" applyProtection="1">
      <alignment horizontal="center" vertical="center"/>
      <protection locked="0"/>
    </xf>
    <xf numFmtId="0" fontId="17" fillId="3" borderId="0" xfId="0" quotePrefix="1" applyFont="1" applyFill="1"/>
    <xf numFmtId="0" fontId="31" fillId="8" borderId="0" xfId="0" applyFont="1" applyFill="1" applyAlignment="1">
      <alignment horizontal="left" vertical="center"/>
    </xf>
    <xf numFmtId="0" fontId="47" fillId="5" borderId="41" xfId="6" applyFont="1" applyFill="1" applyBorder="1" applyAlignment="1">
      <alignment vertical="center"/>
    </xf>
    <xf numFmtId="0" fontId="47" fillId="5" borderId="41" xfId="6" applyFont="1" applyFill="1" applyBorder="1" applyAlignment="1">
      <alignment horizontal="right" vertical="center"/>
    </xf>
    <xf numFmtId="0" fontId="74" fillId="8" borderId="0" xfId="0" applyFont="1" applyFill="1" applyAlignment="1">
      <alignment horizontal="left" vertical="top" indent="1"/>
    </xf>
    <xf numFmtId="0" fontId="41" fillId="8" borderId="0" xfId="0" applyFont="1" applyFill="1" applyAlignment="1">
      <alignment horizontal="right" vertical="top"/>
    </xf>
    <xf numFmtId="0" fontId="41" fillId="8" borderId="0" xfId="0" applyFont="1" applyFill="1" applyAlignment="1">
      <alignment horizontal="left" vertical="top"/>
    </xf>
    <xf numFmtId="0" fontId="6" fillId="8" borderId="0" xfId="0" applyFont="1" applyFill="1" applyAlignment="1">
      <alignment vertical="top"/>
    </xf>
    <xf numFmtId="0" fontId="29" fillId="8" borderId="0" xfId="0" applyFont="1" applyFill="1" applyAlignment="1">
      <alignment horizontal="left" vertical="top"/>
    </xf>
    <xf numFmtId="0" fontId="41" fillId="3" borderId="12" xfId="0" applyFont="1" applyFill="1" applyBorder="1" applyAlignment="1">
      <alignment horizontal="right" vertical="center"/>
    </xf>
    <xf numFmtId="0" fontId="41" fillId="3" borderId="0" xfId="0" applyFont="1" applyFill="1" applyAlignment="1">
      <alignment vertical="center"/>
    </xf>
    <xf numFmtId="0" fontId="75" fillId="3" borderId="0" xfId="0" applyFont="1" applyFill="1" applyAlignment="1">
      <alignment horizontal="right"/>
    </xf>
    <xf numFmtId="0" fontId="42" fillId="3" borderId="0" xfId="0" applyFont="1" applyFill="1"/>
    <xf numFmtId="164" fontId="23" fillId="11" borderId="73" xfId="0" applyNumberFormat="1" applyFont="1" applyFill="1" applyBorder="1" applyAlignment="1">
      <alignment horizontal="center" vertical="center"/>
    </xf>
    <xf numFmtId="164" fontId="27" fillId="11" borderId="73" xfId="0" applyNumberFormat="1" applyFont="1" applyFill="1" applyBorder="1" applyAlignment="1">
      <alignment horizontal="center" vertical="center"/>
    </xf>
    <xf numFmtId="170" fontId="31" fillId="11" borderId="73" xfId="0" applyNumberFormat="1" applyFont="1" applyFill="1" applyBorder="1" applyAlignment="1">
      <alignment horizontal="center" vertical="center"/>
    </xf>
    <xf numFmtId="168" fontId="23" fillId="11" borderId="73" xfId="5" applyNumberFormat="1" applyFont="1" applyFill="1" applyBorder="1" applyAlignment="1">
      <alignment horizontal="center" vertical="center"/>
    </xf>
    <xf numFmtId="168" fontId="23" fillId="11" borderId="75" xfId="5" applyNumberFormat="1" applyFont="1" applyFill="1" applyBorder="1" applyAlignment="1">
      <alignment horizontal="center" vertical="center"/>
    </xf>
    <xf numFmtId="1" fontId="23" fillId="11" borderId="74" xfId="0" applyNumberFormat="1" applyFont="1" applyFill="1" applyBorder="1" applyAlignment="1">
      <alignment horizontal="center" vertical="center"/>
    </xf>
    <xf numFmtId="2" fontId="23" fillId="11" borderId="76" xfId="0" applyNumberFormat="1" applyFont="1" applyFill="1" applyBorder="1" applyAlignment="1">
      <alignment horizontal="center" vertical="center"/>
    </xf>
    <xf numFmtId="164" fontId="27" fillId="11" borderId="77" xfId="0" applyNumberFormat="1" applyFont="1" applyFill="1" applyBorder="1" applyAlignment="1">
      <alignment horizontal="center" vertical="center"/>
    </xf>
    <xf numFmtId="164" fontId="23" fillId="11" borderId="77" xfId="0" applyNumberFormat="1" applyFont="1" applyFill="1" applyBorder="1" applyAlignment="1">
      <alignment horizontal="center" vertical="center"/>
    </xf>
    <xf numFmtId="164" fontId="23" fillId="11" borderId="76" xfId="0" applyNumberFormat="1" applyFont="1" applyFill="1" applyBorder="1" applyAlignment="1">
      <alignment horizontal="center" vertical="center"/>
    </xf>
    <xf numFmtId="0" fontId="6" fillId="3" borderId="78" xfId="0" applyFont="1" applyFill="1" applyBorder="1"/>
    <xf numFmtId="0" fontId="42" fillId="3" borderId="0" xfId="0" applyFont="1" applyFill="1" applyAlignment="1">
      <alignment vertical="top"/>
    </xf>
    <xf numFmtId="0" fontId="42" fillId="3" borderId="0" xfId="0" quotePrefix="1" applyFont="1" applyFill="1" applyAlignment="1">
      <alignment vertical="center"/>
    </xf>
    <xf numFmtId="0" fontId="6" fillId="3" borderId="0" xfId="0" applyFont="1" applyFill="1" applyAlignment="1">
      <alignment horizontal="right" vertical="center"/>
    </xf>
    <xf numFmtId="0" fontId="42" fillId="3" borderId="0" xfId="0" applyFont="1" applyFill="1" applyAlignment="1">
      <alignment vertical="center"/>
    </xf>
    <xf numFmtId="164" fontId="27" fillId="11" borderId="80" xfId="0" applyNumberFormat="1" applyFont="1" applyFill="1" applyBorder="1" applyAlignment="1">
      <alignment horizontal="center" vertical="center"/>
    </xf>
    <xf numFmtId="164" fontId="27" fillId="11" borderId="81" xfId="0" applyNumberFormat="1" applyFont="1" applyFill="1" applyBorder="1" applyAlignment="1">
      <alignment horizontal="center" vertical="center"/>
    </xf>
    <xf numFmtId="164" fontId="27" fillId="11" borderId="82" xfId="0" applyNumberFormat="1" applyFont="1" applyFill="1" applyBorder="1" applyAlignment="1">
      <alignment horizontal="center" vertical="center"/>
    </xf>
    <xf numFmtId="164" fontId="27" fillId="11" borderId="83" xfId="0" applyNumberFormat="1" applyFont="1" applyFill="1" applyBorder="1" applyAlignment="1">
      <alignment horizontal="center" vertical="center"/>
    </xf>
    <xf numFmtId="164" fontId="23" fillId="11" borderId="0" xfId="0" applyNumberFormat="1" applyFont="1" applyFill="1" applyAlignment="1">
      <alignment horizontal="center" vertical="center"/>
    </xf>
    <xf numFmtId="164" fontId="23" fillId="11" borderId="84" xfId="0" applyNumberFormat="1" applyFont="1" applyFill="1" applyBorder="1" applyAlignment="1">
      <alignment horizontal="center" vertical="center"/>
    </xf>
    <xf numFmtId="164" fontId="23" fillId="11" borderId="85" xfId="0" applyNumberFormat="1" applyFont="1" applyFill="1" applyBorder="1" applyAlignment="1">
      <alignment horizontal="center" vertical="center"/>
    </xf>
    <xf numFmtId="164" fontId="23" fillId="11" borderId="87" xfId="0" applyNumberFormat="1" applyFont="1" applyFill="1" applyBorder="1" applyAlignment="1">
      <alignment horizontal="center" vertical="center"/>
    </xf>
    <xf numFmtId="164" fontId="23" fillId="11" borderId="88" xfId="0" applyNumberFormat="1" applyFont="1" applyFill="1" applyBorder="1" applyAlignment="1">
      <alignment horizontal="center" vertical="center"/>
    </xf>
    <xf numFmtId="0" fontId="77" fillId="0" borderId="0" xfId="0" applyFont="1"/>
    <xf numFmtId="9" fontId="0" fillId="0" borderId="18" xfId="0" applyNumberFormat="1" applyBorder="1"/>
    <xf numFmtId="0" fontId="28" fillId="8" borderId="0" xfId="0" applyFont="1" applyFill="1" applyAlignment="1">
      <alignment horizontal="right" vertical="center"/>
    </xf>
    <xf numFmtId="0" fontId="28" fillId="8" borderId="0" xfId="0" applyFont="1" applyFill="1" applyAlignment="1">
      <alignment horizontal="left" vertical="center"/>
    </xf>
    <xf numFmtId="0" fontId="28" fillId="8" borderId="0" xfId="0" applyFont="1" applyFill="1" applyAlignment="1">
      <alignment horizontal="right" vertical="center" indent="5"/>
    </xf>
    <xf numFmtId="0" fontId="78" fillId="0" borderId="0" xfId="0" applyFont="1"/>
    <xf numFmtId="0" fontId="6" fillId="3" borderId="22" xfId="0" applyFont="1" applyFill="1" applyBorder="1" applyProtection="1">
      <protection locked="0"/>
    </xf>
    <xf numFmtId="0" fontId="6" fillId="3" borderId="19" xfId="0" applyFont="1" applyFill="1" applyBorder="1" applyProtection="1">
      <protection locked="0"/>
    </xf>
    <xf numFmtId="0" fontId="29" fillId="3" borderId="19" xfId="0" applyFont="1" applyFill="1" applyBorder="1" applyProtection="1">
      <protection locked="0"/>
    </xf>
    <xf numFmtId="0" fontId="29" fillId="3" borderId="22" xfId="0" applyFont="1" applyFill="1" applyBorder="1" applyProtection="1">
      <protection locked="0"/>
    </xf>
    <xf numFmtId="0" fontId="76" fillId="3" borderId="19" xfId="0" applyFont="1" applyFill="1" applyBorder="1" applyProtection="1">
      <protection locked="0"/>
    </xf>
    <xf numFmtId="0" fontId="6" fillId="3" borderId="35" xfId="0" applyFont="1" applyFill="1" applyBorder="1" applyProtection="1">
      <protection locked="0"/>
    </xf>
    <xf numFmtId="0" fontId="6" fillId="3" borderId="0" xfId="0" applyFont="1" applyFill="1" applyProtection="1">
      <protection locked="0"/>
    </xf>
    <xf numFmtId="0" fontId="6" fillId="3" borderId="63" xfId="0" applyFont="1" applyFill="1" applyBorder="1" applyProtection="1">
      <protection locked="0"/>
    </xf>
    <xf numFmtId="0" fontId="67" fillId="3" borderId="0" xfId="0" applyFont="1" applyFill="1"/>
    <xf numFmtId="0" fontId="0" fillId="0" borderId="55" xfId="0" applyBorder="1"/>
    <xf numFmtId="0" fontId="6" fillId="2" borderId="89" xfId="0" applyFont="1" applyFill="1" applyBorder="1"/>
    <xf numFmtId="0" fontId="6" fillId="2" borderId="55" xfId="0" applyFont="1" applyFill="1" applyBorder="1"/>
    <xf numFmtId="0" fontId="67" fillId="3" borderId="55" xfId="0" applyFont="1" applyFill="1" applyBorder="1"/>
    <xf numFmtId="0" fontId="6" fillId="3" borderId="55" xfId="0" applyFont="1" applyFill="1" applyBorder="1"/>
    <xf numFmtId="164" fontId="6" fillId="3" borderId="0" xfId="0" applyNumberFormat="1" applyFont="1" applyFill="1"/>
    <xf numFmtId="164" fontId="17" fillId="3" borderId="0" xfId="0" applyNumberFormat="1" applyFont="1" applyFill="1"/>
    <xf numFmtId="0" fontId="79" fillId="3" borderId="0" xfId="0" applyFont="1" applyFill="1" applyAlignment="1">
      <alignment horizontal="left" vertical="top"/>
    </xf>
    <xf numFmtId="0" fontId="26" fillId="0" borderId="18" xfId="0" applyFont="1" applyBorder="1"/>
    <xf numFmtId="0" fontId="37" fillId="0" borderId="0" xfId="0" applyFont="1"/>
    <xf numFmtId="11" fontId="37" fillId="0" borderId="0" xfId="0" applyNumberFormat="1" applyFont="1"/>
    <xf numFmtId="0" fontId="37" fillId="0" borderId="18" xfId="0" applyFont="1" applyBorder="1"/>
    <xf numFmtId="11" fontId="37" fillId="0" borderId="18" xfId="0" applyNumberFormat="1" applyFont="1" applyBorder="1"/>
    <xf numFmtId="2" fontId="78" fillId="0" borderId="0" xfId="0" applyNumberFormat="1" applyFont="1"/>
    <xf numFmtId="0" fontId="47" fillId="5" borderId="14" xfId="6" applyFont="1" applyFill="1" applyBorder="1" applyAlignment="1">
      <alignment horizontal="left" vertical="center" wrapText="1"/>
    </xf>
    <xf numFmtId="0" fontId="80" fillId="0" borderId="0" xfId="0" applyFont="1"/>
    <xf numFmtId="0" fontId="72" fillId="0" borderId="0" xfId="0" applyFont="1" applyAlignment="1">
      <alignment horizontal="left"/>
    </xf>
    <xf numFmtId="164" fontId="72" fillId="0" borderId="0" xfId="0" applyNumberFormat="1" applyFont="1"/>
    <xf numFmtId="164" fontId="72" fillId="0" borderId="0" xfId="0" applyNumberFormat="1" applyFont="1" applyAlignment="1">
      <alignment horizontal="left"/>
    </xf>
    <xf numFmtId="164" fontId="72" fillId="0" borderId="0" xfId="0" applyNumberFormat="1" applyFont="1" applyAlignment="1">
      <alignment horizontal="left" vertical="top" wrapText="1"/>
    </xf>
    <xf numFmtId="0" fontId="80" fillId="0" borderId="0" xfId="0" applyFont="1" applyAlignment="1">
      <alignment vertical="top"/>
    </xf>
    <xf numFmtId="0" fontId="72" fillId="0" borderId="0" xfId="0" applyFont="1" applyAlignment="1">
      <alignment horizontal="right" vertical="top"/>
    </xf>
    <xf numFmtId="0" fontId="39" fillId="0" borderId="0" xfId="0" applyFont="1"/>
    <xf numFmtId="169" fontId="72" fillId="0" borderId="0" xfId="0" applyNumberFormat="1" applyFont="1"/>
    <xf numFmtId="1" fontId="72" fillId="0" borderId="0" xfId="0" applyNumberFormat="1" applyFont="1"/>
    <xf numFmtId="2" fontId="72" fillId="0" borderId="0" xfId="0" applyNumberFormat="1" applyFont="1" applyAlignment="1">
      <alignment horizontal="right"/>
    </xf>
    <xf numFmtId="2" fontId="0" fillId="0" borderId="0" xfId="0" applyNumberFormat="1" applyAlignment="1">
      <alignment horizontal="right"/>
    </xf>
    <xf numFmtId="0" fontId="81" fillId="0" borderId="0" xfId="0" applyFont="1" applyAlignment="1">
      <alignment horizontal="right"/>
    </xf>
    <xf numFmtId="1" fontId="72" fillId="0" borderId="0" xfId="0" applyNumberFormat="1" applyFont="1" applyAlignment="1">
      <alignment horizontal="left"/>
    </xf>
    <xf numFmtId="0" fontId="72" fillId="0" borderId="0" xfId="0" applyFont="1" applyAlignment="1">
      <alignment vertical="top" wrapText="1"/>
    </xf>
    <xf numFmtId="0" fontId="70" fillId="0" borderId="0" xfId="0" applyFont="1" applyAlignment="1">
      <alignment vertical="center"/>
    </xf>
    <xf numFmtId="0" fontId="72" fillId="0" borderId="0" xfId="0" applyFont="1" applyAlignment="1" applyProtection="1">
      <protection locked="0"/>
    </xf>
    <xf numFmtId="0" fontId="6" fillId="8" borderId="0" xfId="0" applyFont="1" applyFill="1" applyAlignment="1">
      <alignment horizontal="left" vertical="center"/>
    </xf>
    <xf numFmtId="0" fontId="0" fillId="0" borderId="0" xfId="0" applyBorder="1"/>
    <xf numFmtId="0" fontId="5" fillId="5" borderId="0" xfId="6" applyFont="1" applyFill="1" applyBorder="1" applyAlignment="1">
      <alignment horizontal="right" vertical="top"/>
    </xf>
    <xf numFmtId="0" fontId="48" fillId="8" borderId="0" xfId="0" quotePrefix="1" applyFont="1" applyFill="1" applyAlignment="1">
      <alignment horizontal="left" vertical="center"/>
    </xf>
    <xf numFmtId="0" fontId="49" fillId="5" borderId="0" xfId="0" applyFont="1" applyFill="1" applyBorder="1" applyAlignment="1">
      <alignment horizontal="left" vertical="center"/>
    </xf>
    <xf numFmtId="0" fontId="43" fillId="3" borderId="0" xfId="0" applyFont="1" applyFill="1" applyAlignment="1">
      <alignment horizontal="left" vertical="center" indent="1"/>
    </xf>
    <xf numFmtId="0" fontId="68" fillId="3" borderId="0" xfId="0" applyFont="1" applyFill="1" applyAlignment="1">
      <alignment horizontal="left" vertical="center" indent="1"/>
    </xf>
    <xf numFmtId="0" fontId="43" fillId="3" borderId="86" xfId="0" applyFont="1" applyFill="1" applyBorder="1" applyAlignment="1">
      <alignment horizontal="left" vertical="center" indent="1"/>
    </xf>
    <xf numFmtId="0" fontId="39" fillId="6" borderId="0" xfId="0" applyFont="1" applyFill="1" applyAlignment="1">
      <alignment horizontal="left" vertical="center" indent="1"/>
    </xf>
    <xf numFmtId="0" fontId="83" fillId="5" borderId="0" xfId="0" quotePrefix="1" applyFont="1" applyFill="1" applyAlignment="1">
      <alignment horizontal="left" vertical="top"/>
    </xf>
    <xf numFmtId="0" fontId="83" fillId="5" borderId="0" xfId="0" quotePrefix="1" applyFont="1" applyFill="1" applyAlignment="1">
      <alignment horizontal="left"/>
    </xf>
    <xf numFmtId="2" fontId="72" fillId="0" borderId="0" xfId="0" applyNumberFormat="1" applyFont="1" applyAlignment="1">
      <alignment horizontal="left" vertical="center"/>
    </xf>
    <xf numFmtId="2" fontId="72" fillId="0" borderId="0" xfId="0" applyNumberFormat="1" applyFont="1" applyAlignment="1">
      <alignment horizontal="left"/>
    </xf>
    <xf numFmtId="164" fontId="72" fillId="0" borderId="0" xfId="0" applyNumberFormat="1" applyFont="1" applyAlignment="1">
      <alignment vertical="top"/>
    </xf>
    <xf numFmtId="2" fontId="23" fillId="11" borderId="26" xfId="5" applyNumberFormat="1" applyFont="1" applyFill="1" applyBorder="1" applyAlignment="1">
      <alignment horizontal="center" vertical="center"/>
    </xf>
    <xf numFmtId="2" fontId="23" fillId="11" borderId="27" xfId="5" applyNumberFormat="1" applyFont="1" applyFill="1" applyBorder="1" applyAlignment="1">
      <alignment horizontal="center" vertical="center"/>
    </xf>
    <xf numFmtId="2" fontId="23" fillId="11" borderId="28" xfId="5" applyNumberFormat="1" applyFont="1" applyFill="1" applyBorder="1" applyAlignment="1">
      <alignment horizontal="center" vertical="center"/>
    </xf>
    <xf numFmtId="2" fontId="23" fillId="11" borderId="29" xfId="5" applyNumberFormat="1" applyFont="1" applyFill="1" applyBorder="1" applyAlignment="1">
      <alignment horizontal="center" vertical="center"/>
    </xf>
    <xf numFmtId="0" fontId="84" fillId="3" borderId="0" xfId="0" applyFont="1" applyFill="1" applyAlignment="1">
      <alignment vertical="center"/>
    </xf>
    <xf numFmtId="0" fontId="66" fillId="3" borderId="14" xfId="0" applyFont="1" applyFill="1" applyBorder="1" applyAlignment="1" applyProtection="1">
      <alignment horizontal="left"/>
      <protection locked="0"/>
    </xf>
    <xf numFmtId="164" fontId="63" fillId="9" borderId="59" xfId="7" applyNumberFormat="1" applyFont="1" applyFill="1" applyBorder="1" applyAlignment="1">
      <alignment horizontal="center" vertical="center"/>
    </xf>
    <xf numFmtId="0" fontId="64" fillId="9" borderId="59" xfId="0" applyFont="1" applyFill="1" applyBorder="1" applyAlignment="1">
      <alignment horizontal="center" vertical="center"/>
    </xf>
    <xf numFmtId="0" fontId="64" fillId="9" borderId="60" xfId="0" applyFont="1" applyFill="1" applyBorder="1" applyAlignment="1">
      <alignment horizontal="center" vertical="center"/>
    </xf>
    <xf numFmtId="0" fontId="31" fillId="8" borderId="41" xfId="0" applyFont="1" applyFill="1" applyBorder="1" applyAlignment="1">
      <alignment horizontal="center" vertical="center"/>
    </xf>
    <xf numFmtId="0" fontId="32" fillId="7" borderId="69" xfId="0" applyFont="1" applyFill="1" applyBorder="1" applyAlignment="1">
      <alignment horizontal="center" vertical="center"/>
    </xf>
    <xf numFmtId="0" fontId="32" fillId="7" borderId="79" xfId="0" applyFont="1" applyFill="1" applyBorder="1" applyAlignment="1">
      <alignment horizontal="center" vertical="center"/>
    </xf>
    <xf numFmtId="0" fontId="47" fillId="5" borderId="0" xfId="6" applyFont="1" applyFill="1" applyAlignment="1">
      <alignment horizontal="left" vertical="center" wrapText="1"/>
    </xf>
    <xf numFmtId="0" fontId="47" fillId="5" borderId="14" xfId="6" applyFont="1" applyFill="1" applyBorder="1" applyAlignment="1">
      <alignment horizontal="left" vertical="center" wrapText="1"/>
    </xf>
    <xf numFmtId="0" fontId="23" fillId="11" borderId="73" xfId="0" applyFont="1" applyFill="1" applyBorder="1" applyAlignment="1">
      <alignment horizontal="center" vertical="center" wrapText="1"/>
    </xf>
    <xf numFmtId="0" fontId="23" fillId="11" borderId="79" xfId="0" applyFont="1" applyFill="1" applyBorder="1" applyAlignment="1">
      <alignment horizontal="center" vertical="center" wrapText="1"/>
    </xf>
    <xf numFmtId="0" fontId="13" fillId="9" borderId="0" xfId="0" applyFont="1" applyFill="1" applyAlignment="1">
      <alignment horizontal="center" vertical="center"/>
    </xf>
    <xf numFmtId="0" fontId="72" fillId="0" borderId="0" xfId="0" applyFont="1" applyAlignment="1" applyProtection="1">
      <alignment horizontal="left"/>
      <protection locked="0"/>
    </xf>
    <xf numFmtId="0" fontId="72" fillId="0" borderId="0" xfId="0" applyFont="1" applyAlignment="1" applyProtection="1">
      <protection locked="0"/>
    </xf>
  </cellXfs>
  <cellStyles count="8">
    <cellStyle name="Heading 1" xfId="2" builtinId="16"/>
    <cellStyle name="Heading 2" xfId="3" builtinId="17"/>
    <cellStyle name="Heading 4" xfId="6" builtinId="19"/>
    <cellStyle name="Hyperlink" xfId="7" builtinId="8"/>
    <cellStyle name="Linked Cell" xfId="4" builtinId="24"/>
    <cellStyle name="Normal" xfId="0" builtinId="0"/>
    <cellStyle name="Percent" xfId="5" builtinId="5"/>
    <cellStyle name="Title" xfId="1" builtinId="15"/>
  </cellStyles>
  <dxfs count="79">
    <dxf>
      <font>
        <color rgb="FFC00000"/>
      </font>
    </dxf>
    <dxf>
      <font>
        <color rgb="FFC00000"/>
      </font>
    </dxf>
    <dxf>
      <numFmt numFmtId="171" formatCode="\+0.0\ \K;\-0.0\ \K;0.0\ \K"/>
    </dxf>
    <dxf>
      <font>
        <color rgb="FFC00000"/>
      </font>
    </dxf>
    <dxf>
      <font>
        <color rgb="FFC00000"/>
      </font>
    </dxf>
    <dxf>
      <numFmt numFmtId="171" formatCode="\+0.0\ \K;\-0.0\ \K;0.0\ \K"/>
    </dxf>
    <dxf>
      <font>
        <color rgb="FFC00000"/>
      </font>
    </dxf>
    <dxf>
      <numFmt numFmtId="171" formatCode="\+0.0\ \K;\-0.0\ \K;0.0\ \K"/>
    </dxf>
    <dxf>
      <font>
        <color rgb="FFC00000"/>
      </font>
    </dxf>
    <dxf>
      <numFmt numFmtId="171" formatCode="\+0.0\ \K;\-0.0\ \K;0.0\ \K"/>
    </dxf>
    <dxf>
      <font>
        <color rgb="FFC00000"/>
      </font>
    </dxf>
    <dxf>
      <numFmt numFmtId="171" formatCode="\+0.0\ \K;\-0.0\ \K;0.0\ \K"/>
    </dxf>
    <dxf>
      <font>
        <color rgb="FFC00000"/>
      </font>
    </dxf>
    <dxf>
      <numFmt numFmtId="171" formatCode="\+0.0\ \K;\-0.0\ \K;0.0\ \K"/>
    </dxf>
    <dxf>
      <font>
        <color rgb="FFC00000"/>
      </font>
    </dxf>
    <dxf>
      <numFmt numFmtId="171" formatCode="\+0.0\ \K;\-0.0\ \K;0.0\ \K"/>
    </dxf>
    <dxf>
      <font>
        <color rgb="FFC00000"/>
      </font>
    </dxf>
    <dxf>
      <numFmt numFmtId="171" formatCode="\+0.0\ \K;\-0.0\ \K;0.0\ \K"/>
    </dxf>
    <dxf>
      <font>
        <color rgb="FFC00000"/>
      </font>
    </dxf>
    <dxf>
      <numFmt numFmtId="171" formatCode="\+0.0\ \K;\-0.0\ \K;0.0\ \K"/>
    </dxf>
    <dxf>
      <font>
        <color rgb="FFC00000"/>
      </font>
    </dxf>
    <dxf>
      <numFmt numFmtId="171" formatCode="\+0.0\ \K;\-0.0\ \K;0.0\ \K"/>
    </dxf>
    <dxf>
      <font>
        <color rgb="FFC00000"/>
      </font>
    </dxf>
    <dxf>
      <numFmt numFmtId="171" formatCode="\+0.0\ \K;\-0.0\ \K;0.0\ \K"/>
    </dxf>
    <dxf>
      <font>
        <color theme="0" tint="-0.34998626667073579"/>
      </font>
    </dxf>
    <dxf>
      <font>
        <color rgb="FFC00000"/>
      </font>
    </dxf>
    <dxf>
      <font>
        <color theme="1" tint="0.34998626667073579"/>
      </font>
      <fill>
        <patternFill>
          <bgColor theme="1" tint="0.499984740745262"/>
        </patternFill>
      </fill>
      <border>
        <left style="thin">
          <color auto="1"/>
        </left>
        <right style="thin">
          <color auto="1"/>
        </right>
        <top style="thin">
          <color auto="1"/>
        </top>
        <bottom style="thin">
          <color auto="1"/>
        </bottom>
        <vertical/>
        <horizontal/>
      </border>
    </dxf>
    <dxf>
      <font>
        <color theme="0" tint="-0.14996795556505021"/>
      </font>
    </dxf>
    <dxf>
      <font>
        <color rgb="FFC00000"/>
      </font>
    </dxf>
    <dxf>
      <font>
        <color theme="0" tint="-0.34998626667073579"/>
      </font>
    </dxf>
    <dxf>
      <font>
        <color theme="0" tint="-4.9989318521683403E-2"/>
      </font>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rgb="FFC00000"/>
      </font>
    </dxf>
    <dxf>
      <font>
        <color rgb="FFC00000"/>
      </font>
    </dxf>
    <dxf>
      <font>
        <color theme="0" tint="-0.14996795556505021"/>
      </font>
    </dxf>
    <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dxf>
    <dxf>
      <font>
        <color theme="0" tint="-0.14996795556505021"/>
      </font>
    </dxf>
    <dxf>
      <font>
        <color theme="0" tint="-0.14996795556505021"/>
      </font>
    </dxf>
    <dxf>
      <font>
        <color theme="0" tint="-0.14996795556505021"/>
      </font>
    </dxf>
    <dxf>
      <font>
        <color theme="1" tint="0.34998626667073579"/>
      </font>
      <fill>
        <patternFill>
          <bgColor theme="1" tint="0.499984740745262"/>
        </patternFill>
      </fill>
      <border>
        <left style="thin">
          <color auto="1"/>
        </left>
        <right style="thin">
          <color auto="1"/>
        </right>
        <top style="thin">
          <color auto="1"/>
        </top>
        <bottom style="thin">
          <color auto="1"/>
        </bottom>
        <vertical/>
        <horizontal/>
      </border>
    </dxf>
    <dxf>
      <font>
        <color theme="0" tint="-0.34998626667073579"/>
      </font>
    </dxf>
    <dxf>
      <font>
        <color theme="0" tint="-0.34998626667073579"/>
      </font>
    </dxf>
    <dxf>
      <font>
        <color theme="0" tint="-0.34998626667073579"/>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ont>
        <color rgb="FFC00000"/>
      </font>
    </dxf>
    <dxf>
      <fill>
        <patternFill>
          <bgColor theme="0" tint="-0.1499679555650502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2540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wer"/>
            <c:dispRSqr val="0"/>
            <c:dispEq val="0"/>
          </c:trendline>
          <c:xVal>
            <c:numRef>
              <c:f>'Equations HSC-AD'!$C$234:$L$234</c:f>
              <c:numCache>
                <c:formatCode>General</c:formatCode>
                <c:ptCount val="10"/>
                <c:pt idx="0">
                  <c:v>209.16500663351889</c:v>
                </c:pt>
                <c:pt idx="1">
                  <c:v>250</c:v>
                </c:pt>
                <c:pt idx="2">
                  <c:v>297.01430941959683</c:v>
                </c:pt>
                <c:pt idx="3">
                  <c:v>355</c:v>
                </c:pt>
                <c:pt idx="4">
                  <c:v>418.33001326703777</c:v>
                </c:pt>
                <c:pt idx="5">
                  <c:v>500</c:v>
                </c:pt>
                <c:pt idx="6">
                  <c:v>594.02861883919365</c:v>
                </c:pt>
                <c:pt idx="7">
                  <c:v>710</c:v>
                </c:pt>
                <c:pt idx="8">
                  <c:v>836.66002653407554</c:v>
                </c:pt>
                <c:pt idx="9">
                  <c:v>1000</c:v>
                </c:pt>
              </c:numCache>
            </c:numRef>
          </c:xVal>
          <c:yVal>
            <c:numRef>
              <c:f>'Equations HSC-AD'!$C$222:$L$222</c:f>
              <c:numCache>
                <c:formatCode>0.0</c:formatCode>
                <c:ptCount val="10"/>
                <c:pt idx="0">
                  <c:v>81.006510161469393</c:v>
                </c:pt>
                <c:pt idx="1">
                  <c:v>56.796294328772881</c:v>
                </c:pt>
                <c:pt idx="2">
                  <c:v>28.228606066022376</c:v>
                </c:pt>
                <c:pt idx="3">
                  <c:v>19.836039660967703</c:v>
                </c:pt>
                <c:pt idx="4">
                  <c:v>10.125813770183674</c:v>
                </c:pt>
                <c:pt idx="5">
                  <c:v>7.0995367910966101</c:v>
                </c:pt>
                <c:pt idx="6">
                  <c:v>3.528575758252797</c:v>
                </c:pt>
                <c:pt idx="7">
                  <c:v>2.4795049576209629</c:v>
                </c:pt>
                <c:pt idx="8">
                  <c:v>1.2611954843367388</c:v>
                </c:pt>
                <c:pt idx="9">
                  <c:v>0.88744209888707626</c:v>
                </c:pt>
              </c:numCache>
            </c:numRef>
          </c:yVal>
          <c:smooth val="0"/>
          <c:extLst>
            <c:ext xmlns:c16="http://schemas.microsoft.com/office/drawing/2014/chart" uri="{C3380CC4-5D6E-409C-BE32-E72D297353CC}">
              <c16:uniqueId val="{00000001-2AFA-46BD-B1AB-45B1E5B11A6B}"/>
            </c:ext>
          </c:extLst>
        </c:ser>
        <c:ser>
          <c:idx val="1"/>
          <c:order val="1"/>
          <c:spPr>
            <a:ln w="25400" cap="rnd">
              <a:noFill/>
              <a:round/>
            </a:ln>
            <a:effectLst/>
          </c:spPr>
          <c:marker>
            <c:symbol val="circle"/>
            <c:size val="5"/>
            <c:spPr>
              <a:solidFill>
                <a:schemeClr val="accent2"/>
              </a:solidFill>
              <a:ln w="9525">
                <a:solidFill>
                  <a:schemeClr val="accent2"/>
                </a:solidFill>
              </a:ln>
              <a:effectLst/>
            </c:spPr>
          </c:marker>
          <c:trendline>
            <c:spPr>
              <a:ln w="19050" cap="rnd">
                <a:solidFill>
                  <a:schemeClr val="accent2"/>
                </a:solidFill>
                <a:prstDash val="sysDot"/>
              </a:ln>
              <a:effectLst/>
            </c:spPr>
            <c:trendlineType val="power"/>
            <c:backward val="50"/>
            <c:dispRSqr val="0"/>
            <c:dispEq val="1"/>
            <c:trendlineLbl>
              <c:layout>
                <c:manualLayout>
                  <c:x val="-7.5726596675415578E-2"/>
                  <c:y val="-0.3214486730825313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('Equations HSC-AD'!$D$234,'Equations HSC-AD'!$F$234,'Equations HSC-AD'!$H$234,'Equations HSC-AD'!$J$234,'Equations HSC-AD'!$L$234)</c:f>
              <c:numCache>
                <c:formatCode>General</c:formatCode>
                <c:ptCount val="5"/>
                <c:pt idx="0">
                  <c:v>250</c:v>
                </c:pt>
                <c:pt idx="1">
                  <c:v>355</c:v>
                </c:pt>
                <c:pt idx="2">
                  <c:v>500</c:v>
                </c:pt>
                <c:pt idx="3">
                  <c:v>710</c:v>
                </c:pt>
                <c:pt idx="4">
                  <c:v>1000</c:v>
                </c:pt>
              </c:numCache>
            </c:numRef>
          </c:xVal>
          <c:yVal>
            <c:numRef>
              <c:f>('Equations HSC-AD'!$D$222,'Equations HSC-AD'!$F$222,'Equations HSC-AD'!$H$222,'Equations HSC-AD'!$J$222,'Equations HSC-AD'!$L$222)</c:f>
              <c:numCache>
                <c:formatCode>0.0</c:formatCode>
                <c:ptCount val="5"/>
                <c:pt idx="0">
                  <c:v>56.796294328772881</c:v>
                </c:pt>
                <c:pt idx="1">
                  <c:v>19.836039660967703</c:v>
                </c:pt>
                <c:pt idx="2">
                  <c:v>7.0995367910966101</c:v>
                </c:pt>
                <c:pt idx="3">
                  <c:v>2.4795049576209629</c:v>
                </c:pt>
                <c:pt idx="4">
                  <c:v>0.88744209888707626</c:v>
                </c:pt>
              </c:numCache>
            </c:numRef>
          </c:yVal>
          <c:smooth val="0"/>
          <c:extLst>
            <c:ext xmlns:c16="http://schemas.microsoft.com/office/drawing/2014/chart" uri="{C3380CC4-5D6E-409C-BE32-E72D297353CC}">
              <c16:uniqueId val="{00000003-2AFA-46BD-B1AB-45B1E5B11A6B}"/>
            </c:ext>
          </c:extLst>
        </c:ser>
        <c:dLbls>
          <c:showLegendKey val="0"/>
          <c:showVal val="0"/>
          <c:showCatName val="0"/>
          <c:showSerName val="0"/>
          <c:showPercent val="0"/>
          <c:showBubbleSize val="0"/>
        </c:dLbls>
        <c:axId val="188951168"/>
        <c:axId val="188951560"/>
      </c:scatterChart>
      <c:valAx>
        <c:axId val="188951168"/>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8951560"/>
        <c:crosses val="autoZero"/>
        <c:crossBetween val="midCat"/>
      </c:valAx>
      <c:valAx>
        <c:axId val="188951560"/>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8951168"/>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wer"/>
            <c:dispRSqr val="0"/>
            <c:dispEq val="0"/>
          </c:trendline>
          <c:xVal>
            <c:numRef>
              <c:f>'Equations HSC-AD'!$P$234:$Y$234</c:f>
              <c:numCache>
                <c:formatCode>General</c:formatCode>
                <c:ptCount val="10"/>
                <c:pt idx="0">
                  <c:v>209.16500663351889</c:v>
                </c:pt>
                <c:pt idx="1">
                  <c:v>250</c:v>
                </c:pt>
                <c:pt idx="2">
                  <c:v>297.01430941959683</c:v>
                </c:pt>
                <c:pt idx="3">
                  <c:v>355</c:v>
                </c:pt>
                <c:pt idx="4">
                  <c:v>418.33001326703777</c:v>
                </c:pt>
                <c:pt idx="5">
                  <c:v>500</c:v>
                </c:pt>
                <c:pt idx="6">
                  <c:v>594.02861883919365</c:v>
                </c:pt>
                <c:pt idx="7">
                  <c:v>710</c:v>
                </c:pt>
                <c:pt idx="8">
                  <c:v>836.66002653407554</c:v>
                </c:pt>
                <c:pt idx="9">
                  <c:v>1000</c:v>
                </c:pt>
              </c:numCache>
            </c:numRef>
          </c:xVal>
          <c:yVal>
            <c:numRef>
              <c:f>'Equations HSC-AD'!$P$241:$Y$241</c:f>
              <c:numCache>
                <c:formatCode>0.0</c:formatCode>
                <c:ptCount val="10"/>
                <c:pt idx="0">
                  <c:v>77.006510161469393</c:v>
                </c:pt>
                <c:pt idx="1">
                  <c:v>52.796294328772881</c:v>
                </c:pt>
                <c:pt idx="2">
                  <c:v>24.228606066022376</c:v>
                </c:pt>
                <c:pt idx="3">
                  <c:v>15.836039660967703</c:v>
                </c:pt>
                <c:pt idx="4">
                  <c:v>6.1258137701836741</c:v>
                </c:pt>
                <c:pt idx="5">
                  <c:v>3.0995367910966101</c:v>
                </c:pt>
                <c:pt idx="6">
                  <c:v>-0.47142424174720299</c:v>
                </c:pt>
                <c:pt idx="7">
                  <c:v>-1.5204950423790371</c:v>
                </c:pt>
                <c:pt idx="8">
                  <c:v>-2.7388045156632614</c:v>
                </c:pt>
                <c:pt idx="9">
                  <c:v>-3.1125579011129236</c:v>
                </c:pt>
              </c:numCache>
            </c:numRef>
          </c:yVal>
          <c:smooth val="0"/>
          <c:extLst>
            <c:ext xmlns:c16="http://schemas.microsoft.com/office/drawing/2014/chart" uri="{C3380CC4-5D6E-409C-BE32-E72D297353CC}">
              <c16:uniqueId val="{00000001-2FCE-4209-8084-302BE1120062}"/>
            </c:ext>
          </c:extLst>
        </c:ser>
        <c:dLbls>
          <c:showLegendKey val="0"/>
          <c:showVal val="0"/>
          <c:showCatName val="0"/>
          <c:showSerName val="0"/>
          <c:showPercent val="0"/>
          <c:showBubbleSize val="0"/>
        </c:dLbls>
        <c:axId val="188952344"/>
        <c:axId val="188952736"/>
      </c:scatterChart>
      <c:valAx>
        <c:axId val="18895234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8952736"/>
        <c:crosses val="autoZero"/>
        <c:crossBetween val="midCat"/>
      </c:valAx>
      <c:valAx>
        <c:axId val="188952736"/>
        <c:scaling>
          <c:orientation val="minMax"/>
        </c:scaling>
        <c:delete val="0"/>
        <c:axPos val="l"/>
        <c:majorGridlines>
          <c:spPr>
            <a:ln w="9525" cap="flat" cmpd="sng" algn="ctr">
              <a:solidFill>
                <a:schemeClr val="tx1">
                  <a:lumMod val="15000"/>
                  <a:lumOff val="85000"/>
                </a:schemeClr>
              </a:solidFill>
              <a:round/>
            </a:ln>
            <a:effectLst/>
          </c:spPr>
        </c:majorGridlines>
        <c:numFmt formatCode="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8952344"/>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trendline>
            <c:spPr>
              <a:ln w="19050" cap="rnd">
                <a:solidFill>
                  <a:schemeClr val="accent1"/>
                </a:solidFill>
                <a:prstDash val="sysDot"/>
              </a:ln>
              <a:effectLst/>
            </c:spPr>
            <c:trendlineType val="power"/>
            <c:dispRSqr val="0"/>
            <c:dispEq val="1"/>
            <c:trendlineLbl>
              <c:layout>
                <c:manualLayout>
                  <c:x val="1.1096121599548505E-2"/>
                  <c:y val="-8.6586670685303138E-2"/>
                </c:manualLayout>
              </c:layout>
              <c:numFmt formatCode="General" sourceLinked="0"/>
              <c:spPr>
                <a:noFill/>
                <a:ln>
                  <a:noFill/>
                </a:ln>
                <a:effectLst/>
              </c:spPr>
              <c:txPr>
                <a:bodyPr rot="0" spcFirstLastPara="1" vertOverflow="ellipsis" vert="horz" wrap="square" anchor="ctr" anchorCtr="1"/>
                <a:lstStyle/>
                <a:p>
                  <a:pPr>
                    <a:defRPr sz="1050" b="0" i="0" u="none" strike="noStrike" kern="1200" baseline="0">
                      <a:solidFill>
                        <a:schemeClr val="tx1">
                          <a:lumMod val="65000"/>
                          <a:lumOff val="35000"/>
                        </a:schemeClr>
                      </a:solidFill>
                      <a:latin typeface="+mn-lt"/>
                      <a:ea typeface="+mn-ea"/>
                      <a:cs typeface="+mn-cs"/>
                    </a:defRPr>
                  </a:pPr>
                  <a:endParaRPr lang="en-US"/>
                </a:p>
              </c:txPr>
            </c:trendlineLbl>
          </c:trendline>
          <c:xVal>
            <c:numRef>
              <c:f>'Equations HSC-AD'!$B$42:$B$45</c:f>
              <c:numCache>
                <c:formatCode>General</c:formatCode>
                <c:ptCount val="4"/>
                <c:pt idx="0">
                  <c:v>2.7</c:v>
                </c:pt>
                <c:pt idx="1">
                  <c:v>4</c:v>
                </c:pt>
                <c:pt idx="2">
                  <c:v>10.0000000001</c:v>
                </c:pt>
                <c:pt idx="3">
                  <c:v>30</c:v>
                </c:pt>
              </c:numCache>
            </c:numRef>
          </c:xVal>
          <c:yVal>
            <c:numRef>
              <c:f>'Equations HSC-AD'!$E$42:$E$45</c:f>
              <c:numCache>
                <c:formatCode>General</c:formatCode>
                <c:ptCount val="4"/>
                <c:pt idx="0">
                  <c:v>194.05364448580664</c:v>
                </c:pt>
                <c:pt idx="1">
                  <c:v>173.42012091102143</c:v>
                </c:pt>
                <c:pt idx="2">
                  <c:v>146.55459415179587</c:v>
                </c:pt>
                <c:pt idx="3">
                  <c:v>118.84899126806246</c:v>
                </c:pt>
              </c:numCache>
            </c:numRef>
          </c:yVal>
          <c:smooth val="0"/>
          <c:extLst>
            <c:ext xmlns:c16="http://schemas.microsoft.com/office/drawing/2014/chart" uri="{C3380CC4-5D6E-409C-BE32-E72D297353CC}">
              <c16:uniqueId val="{00000001-A187-4123-A564-F79EF68B5E4C}"/>
            </c:ext>
          </c:extLst>
        </c:ser>
        <c:dLbls>
          <c:showLegendKey val="0"/>
          <c:showVal val="0"/>
          <c:showCatName val="0"/>
          <c:showSerName val="0"/>
          <c:showPercent val="0"/>
          <c:showBubbleSize val="0"/>
        </c:dLbls>
        <c:axId val="188953520"/>
        <c:axId val="188953912"/>
      </c:scatterChart>
      <c:valAx>
        <c:axId val="188953520"/>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8953912"/>
        <c:crosses val="autoZero"/>
        <c:crossBetween val="midCat"/>
      </c:valAx>
      <c:valAx>
        <c:axId val="18895391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895352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8.7827731211017973E-2"/>
          <c:w val="0.85486621043903055"/>
          <c:h val="0.79232918465836943"/>
        </c:manualLayout>
      </c:layout>
      <c:scatterChart>
        <c:scatterStyle val="lineMarker"/>
        <c:varyColors val="0"/>
        <c:ser>
          <c:idx val="1"/>
          <c:order val="1"/>
          <c:tx>
            <c:v>LEFT</c:v>
          </c:tx>
          <c:spPr>
            <a:ln w="3175"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1-945F-40BE-B4D3-D43E45CE5B53}"/>
            </c:ext>
          </c:extLst>
        </c:ser>
        <c:ser>
          <c:idx val="2"/>
          <c:order val="2"/>
          <c:tx>
            <c:v>RIGHT</c:v>
          </c:tx>
          <c:spPr>
            <a:ln w="25400" cap="rnd">
              <a:noFill/>
              <a:round/>
            </a:ln>
            <a:effectLst/>
          </c:spPr>
          <c:marker>
            <c:symbol val="none"/>
          </c:marker>
          <c:trendline>
            <c:spPr>
              <a:ln w="3175" cap="rnd" cmpd="sng">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3-945F-40BE-B4D3-D43E45CE5B53}"/>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5-945F-40BE-B4D3-D43E45CE5B53}"/>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7-945F-40BE-B4D3-D43E45CE5B53}"/>
            </c:ext>
          </c:extLst>
        </c:ser>
        <c:dLbls>
          <c:showLegendKey val="0"/>
          <c:showVal val="0"/>
          <c:showCatName val="0"/>
          <c:showSerName val="0"/>
          <c:showPercent val="0"/>
          <c:showBubbleSize val="0"/>
        </c:dLbls>
        <c:axId val="191433448"/>
        <c:axId val="191433840"/>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1-9F93-436C-8FBD-66452DC8DCF5}"/>
            </c:ext>
          </c:extLst>
        </c:ser>
        <c:dLbls>
          <c:showLegendKey val="0"/>
          <c:showVal val="0"/>
          <c:showCatName val="0"/>
          <c:showSerName val="0"/>
          <c:showPercent val="0"/>
          <c:showBubbleSize val="0"/>
        </c:dLbls>
        <c:axId val="191434624"/>
        <c:axId val="191434232"/>
      </c:scatterChart>
      <c:valAx>
        <c:axId val="191433448"/>
        <c:scaling>
          <c:orientation val="minMax"/>
          <c:min val="-12"/>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l-GR"/>
                  <a:t>Δ</a:t>
                </a:r>
                <a:r>
                  <a:rPr lang="en-AU"/>
                  <a:t>T</a:t>
                </a:r>
                <a:r>
                  <a:rPr lang="en-AU" baseline="-25000"/>
                  <a:t>supply - room</a:t>
                </a:r>
                <a:r>
                  <a:rPr lang="en-AU"/>
                  <a:t> [K] ('-'</a:t>
                </a:r>
                <a:r>
                  <a:rPr lang="en-AU" baseline="0"/>
                  <a:t> cooling; '+' heating)</a:t>
                </a:r>
                <a:endParaRPr lang="en-AU"/>
              </a:p>
            </c:rich>
          </c:tx>
          <c:layout>
            <c:manualLayout>
              <c:xMode val="edge"/>
              <c:yMode val="edge"/>
              <c:x val="0.30742092457420922"/>
              <c:y val="0.9309434163917538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191433840"/>
        <c:crosses val="autoZero"/>
        <c:crossBetween val="midCat"/>
        <c:majorUnit val="3"/>
        <c:minorUnit val="1"/>
      </c:valAx>
      <c:valAx>
        <c:axId val="191433840"/>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33448"/>
        <c:crosses val="autoZero"/>
        <c:crossBetween val="midCat"/>
        <c:majorUnit val="1"/>
      </c:valAx>
      <c:valAx>
        <c:axId val="191434232"/>
        <c:scaling>
          <c:orientation val="minMax"/>
          <c:max val="13.3"/>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34624"/>
        <c:crosses val="max"/>
        <c:crossBetween val="midCat"/>
      </c:valAx>
      <c:valAx>
        <c:axId val="191434624"/>
        <c:scaling>
          <c:orientation val="minMax"/>
        </c:scaling>
        <c:delete val="1"/>
        <c:axPos val="t"/>
        <c:numFmt formatCode="0.00" sourceLinked="1"/>
        <c:majorTickMark val="out"/>
        <c:minorTickMark val="none"/>
        <c:tickLblPos val="nextTo"/>
        <c:crossAx val="191434232"/>
        <c:crosses val="max"/>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9.5034700221164392E-2"/>
          <c:w val="0.85486621043903055"/>
          <c:h val="0.78512200699841606"/>
        </c:manualLayout>
      </c:layout>
      <c:scatterChart>
        <c:scatterStyle val="lineMarker"/>
        <c:varyColors val="0"/>
        <c:ser>
          <c:idx val="1"/>
          <c:order val="1"/>
          <c:tx>
            <c:v>LEFT</c:v>
          </c:tx>
          <c:spPr>
            <a:ln w="3175"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1-945F-40BE-B4D3-D43E45CE5B53}"/>
            </c:ext>
          </c:extLst>
        </c:ser>
        <c:ser>
          <c:idx val="2"/>
          <c:order val="2"/>
          <c:tx>
            <c:v>RIGHT</c:v>
          </c:tx>
          <c:spPr>
            <a:ln w="25400" cap="rnd">
              <a:noFill/>
              <a:round/>
            </a:ln>
            <a:effectLst/>
          </c:spPr>
          <c:marker>
            <c:symbol val="none"/>
          </c:marker>
          <c:trendline>
            <c:spPr>
              <a:ln w="3175" cap="rnd">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3-945F-40BE-B4D3-D43E45CE5B53}"/>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5-945F-40BE-B4D3-D43E45CE5B53}"/>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7-945F-40BE-B4D3-D43E45CE5B53}"/>
            </c:ext>
          </c:extLst>
        </c:ser>
        <c:dLbls>
          <c:showLegendKey val="0"/>
          <c:showVal val="0"/>
          <c:showCatName val="0"/>
          <c:showSerName val="0"/>
          <c:showPercent val="0"/>
          <c:showBubbleSize val="0"/>
        </c:dLbls>
        <c:axId val="191435800"/>
        <c:axId val="191436192"/>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1-8A0E-4E59-BAEA-4555794C704A}"/>
            </c:ext>
          </c:extLst>
        </c:ser>
        <c:dLbls>
          <c:showLegendKey val="0"/>
          <c:showVal val="0"/>
          <c:showCatName val="0"/>
          <c:showSerName val="0"/>
          <c:showPercent val="0"/>
          <c:showBubbleSize val="0"/>
        </c:dLbls>
        <c:axId val="191436976"/>
        <c:axId val="191436584"/>
      </c:scatterChart>
      <c:valAx>
        <c:axId val="191435800"/>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l-GR"/>
                  <a:t>Δ</a:t>
                </a:r>
                <a:r>
                  <a:rPr lang="en-AU"/>
                  <a:t>T</a:t>
                </a:r>
                <a:r>
                  <a:rPr lang="en-AU" baseline="-25000"/>
                  <a:t>supply - room</a:t>
                </a:r>
                <a:r>
                  <a:rPr lang="en-AU"/>
                  <a:t> [K] ('-'</a:t>
                </a:r>
                <a:r>
                  <a:rPr lang="en-AU" baseline="0"/>
                  <a:t> cooling; '+' heating)</a:t>
                </a:r>
                <a:endParaRPr lang="en-AU"/>
              </a:p>
            </c:rich>
          </c:tx>
          <c:layout>
            <c:manualLayout>
              <c:xMode val="edge"/>
              <c:yMode val="edge"/>
              <c:x val="0.30742092457420922"/>
              <c:y val="0.9309434163917538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191436192"/>
        <c:crosses val="autoZero"/>
        <c:crossBetween val="midCat"/>
        <c:majorUnit val="3"/>
        <c:minorUnit val="1"/>
      </c:valAx>
      <c:valAx>
        <c:axId val="191436192"/>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35800"/>
        <c:crosses val="autoZero"/>
        <c:crossBetween val="midCat"/>
        <c:majorUnit val="1"/>
      </c:valAx>
      <c:valAx>
        <c:axId val="191436584"/>
        <c:scaling>
          <c:orientation val="minMax"/>
          <c:max val="18.600000000000001"/>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36976"/>
        <c:crosses val="max"/>
        <c:crossBetween val="midCat"/>
      </c:valAx>
      <c:valAx>
        <c:axId val="191436976"/>
        <c:scaling>
          <c:orientation val="minMax"/>
        </c:scaling>
        <c:delete val="1"/>
        <c:axPos val="t"/>
        <c:numFmt formatCode="0.00" sourceLinked="1"/>
        <c:majorTickMark val="out"/>
        <c:minorTickMark val="none"/>
        <c:tickLblPos val="nextTo"/>
        <c:crossAx val="191436584"/>
        <c:crosses val="max"/>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8.7760811754377013E-2"/>
          <c:w val="0.85486621043903055"/>
          <c:h val="0.79239583565867733"/>
        </c:manualLayout>
      </c:layout>
      <c:scatterChart>
        <c:scatterStyle val="lineMarker"/>
        <c:varyColors val="0"/>
        <c:ser>
          <c:idx val="1"/>
          <c:order val="1"/>
          <c:tx>
            <c:v>LEFT</c:v>
          </c:tx>
          <c:spPr>
            <a:ln w="3175"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1-945F-40BE-B4D3-D43E45CE5B53}"/>
            </c:ext>
          </c:extLst>
        </c:ser>
        <c:ser>
          <c:idx val="2"/>
          <c:order val="2"/>
          <c:tx>
            <c:v>RIGHT</c:v>
          </c:tx>
          <c:spPr>
            <a:ln w="25400" cap="rnd">
              <a:noFill/>
              <a:round/>
            </a:ln>
            <a:effectLst/>
          </c:spPr>
          <c:marker>
            <c:symbol val="none"/>
          </c:marker>
          <c:trendline>
            <c:spPr>
              <a:ln w="3175" cap="rnd" cmpd="sng">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3-945F-40BE-B4D3-D43E45CE5B53}"/>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layout>
                    <c:manualLayout>
                      <c:w val="9.2226701291118707E-2"/>
                      <c:h val="4.9874884551478448E-2"/>
                    </c:manualLayout>
                  </c15:layout>
                </c:ext>
                <c:ext xmlns:c16="http://schemas.microsoft.com/office/drawing/2014/chart" uri="{C3380CC4-5D6E-409C-BE32-E72D297353CC}">
                  <c16:uniqueId val="{00000004-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5-945F-40BE-B4D3-D43E45CE5B53}"/>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7-945F-40BE-B4D3-D43E45CE5B53}"/>
            </c:ext>
          </c:extLst>
        </c:ser>
        <c:dLbls>
          <c:showLegendKey val="0"/>
          <c:showVal val="0"/>
          <c:showCatName val="0"/>
          <c:showSerName val="0"/>
          <c:showPercent val="0"/>
          <c:showBubbleSize val="0"/>
        </c:dLbls>
        <c:axId val="191437760"/>
        <c:axId val="191438152"/>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1-9A0E-4AFF-948C-8D967679C652}"/>
            </c:ext>
          </c:extLst>
        </c:ser>
        <c:dLbls>
          <c:showLegendKey val="0"/>
          <c:showVal val="0"/>
          <c:showCatName val="0"/>
          <c:showSerName val="0"/>
          <c:showPercent val="0"/>
          <c:showBubbleSize val="0"/>
        </c:dLbls>
        <c:axId val="191438936"/>
        <c:axId val="191438544"/>
      </c:scatterChart>
      <c:valAx>
        <c:axId val="191437760"/>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l-GR"/>
                  <a:t>Δ</a:t>
                </a:r>
                <a:r>
                  <a:rPr lang="en-AU"/>
                  <a:t>T</a:t>
                </a:r>
                <a:r>
                  <a:rPr lang="en-AU" baseline="-25000"/>
                  <a:t>supply - room</a:t>
                </a:r>
                <a:r>
                  <a:rPr lang="en-AU"/>
                  <a:t> [K] ('-'</a:t>
                </a:r>
                <a:r>
                  <a:rPr lang="en-AU" baseline="0"/>
                  <a:t> cooling; '+' heating)</a:t>
                </a:r>
                <a:endParaRPr lang="en-AU"/>
              </a:p>
            </c:rich>
          </c:tx>
          <c:layout>
            <c:manualLayout>
              <c:xMode val="edge"/>
              <c:yMode val="edge"/>
              <c:x val="0.30742092457420922"/>
              <c:y val="0.9309434163917538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191438152"/>
        <c:crosses val="autoZero"/>
        <c:crossBetween val="midCat"/>
        <c:majorUnit val="3"/>
        <c:minorUnit val="1"/>
      </c:valAx>
      <c:valAx>
        <c:axId val="191438152"/>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37760"/>
        <c:crosses val="autoZero"/>
        <c:crossBetween val="midCat"/>
        <c:majorUnit val="1"/>
      </c:valAx>
      <c:valAx>
        <c:axId val="191438544"/>
        <c:scaling>
          <c:orientation val="minMax"/>
          <c:max val="26"/>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38936"/>
        <c:crosses val="max"/>
        <c:crossBetween val="midCat"/>
      </c:valAx>
      <c:valAx>
        <c:axId val="191438936"/>
        <c:scaling>
          <c:orientation val="minMax"/>
        </c:scaling>
        <c:delete val="1"/>
        <c:axPos val="t"/>
        <c:numFmt formatCode="0.00" sourceLinked="1"/>
        <c:majorTickMark val="out"/>
        <c:minorTickMark val="none"/>
        <c:tickLblPos val="nextTo"/>
        <c:crossAx val="191438544"/>
        <c:crosses val="max"/>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9.1349751222412359E-2"/>
          <c:w val="0.85486621043903055"/>
          <c:h val="0.78880721262854259"/>
        </c:manualLayout>
      </c:layout>
      <c:scatterChart>
        <c:scatterStyle val="lineMarker"/>
        <c:varyColors val="0"/>
        <c:ser>
          <c:idx val="1"/>
          <c:order val="1"/>
          <c:tx>
            <c:v>LEFT</c:v>
          </c:tx>
          <c:spPr>
            <a:ln w="3175"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1-945F-40BE-B4D3-D43E45CE5B53}"/>
            </c:ext>
          </c:extLst>
        </c:ser>
        <c:ser>
          <c:idx val="2"/>
          <c:order val="2"/>
          <c:tx>
            <c:v>RIGHT</c:v>
          </c:tx>
          <c:spPr>
            <a:ln w="25400" cap="rnd">
              <a:noFill/>
              <a:round/>
            </a:ln>
            <a:effectLst/>
          </c:spPr>
          <c:marker>
            <c:symbol val="none"/>
          </c:marker>
          <c:trendline>
            <c:spPr>
              <a:ln w="3175" cap="rnd">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3-945F-40BE-B4D3-D43E45CE5B53}"/>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layout>
                    <c:manualLayout>
                      <c:w val="9.2226701291118707E-2"/>
                      <c:h val="4.9874884551478448E-2"/>
                    </c:manualLayout>
                  </c15:layout>
                </c:ext>
                <c:ext xmlns:c16="http://schemas.microsoft.com/office/drawing/2014/chart" uri="{C3380CC4-5D6E-409C-BE32-E72D297353CC}">
                  <c16:uniqueId val="{00000004-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5-945F-40BE-B4D3-D43E45CE5B53}"/>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7-945F-40BE-B4D3-D43E45CE5B53}"/>
            </c:ext>
          </c:extLst>
        </c:ser>
        <c:dLbls>
          <c:showLegendKey val="0"/>
          <c:showVal val="0"/>
          <c:showCatName val="0"/>
          <c:showSerName val="0"/>
          <c:showPercent val="0"/>
          <c:showBubbleSize val="0"/>
        </c:dLbls>
        <c:axId val="191439720"/>
        <c:axId val="191440112"/>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1-7F65-4758-BFFE-3FFB3A0E414D}"/>
            </c:ext>
          </c:extLst>
        </c:ser>
        <c:dLbls>
          <c:showLegendKey val="0"/>
          <c:showVal val="0"/>
          <c:showCatName val="0"/>
          <c:showSerName val="0"/>
          <c:showPercent val="0"/>
          <c:showBubbleSize val="0"/>
        </c:dLbls>
        <c:axId val="191440896"/>
        <c:axId val="191440504"/>
      </c:scatterChart>
      <c:valAx>
        <c:axId val="191439720"/>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l-GR"/>
                  <a:t>Δ</a:t>
                </a:r>
                <a:r>
                  <a:rPr lang="en-AU"/>
                  <a:t>T</a:t>
                </a:r>
                <a:r>
                  <a:rPr lang="en-AU" baseline="-25000"/>
                  <a:t>supply - room</a:t>
                </a:r>
                <a:r>
                  <a:rPr lang="en-AU"/>
                  <a:t> [K] ('-'</a:t>
                </a:r>
                <a:r>
                  <a:rPr lang="en-AU" baseline="0"/>
                  <a:t> cooling; '+' heating)</a:t>
                </a:r>
                <a:endParaRPr lang="en-AU"/>
              </a:p>
            </c:rich>
          </c:tx>
          <c:layout>
            <c:manualLayout>
              <c:xMode val="edge"/>
              <c:yMode val="edge"/>
              <c:x val="0.30742092457420922"/>
              <c:y val="0.9309434163917538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191440112"/>
        <c:crosses val="autoZero"/>
        <c:crossBetween val="midCat"/>
        <c:majorUnit val="3"/>
        <c:minorUnit val="1"/>
      </c:valAx>
      <c:valAx>
        <c:axId val="191440112"/>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39720"/>
        <c:crosses val="autoZero"/>
        <c:crossBetween val="midCat"/>
        <c:majorUnit val="1"/>
      </c:valAx>
      <c:valAx>
        <c:axId val="191440504"/>
        <c:scaling>
          <c:orientation val="minMax"/>
          <c:max val="36.5"/>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40896"/>
        <c:crosses val="max"/>
        <c:crossBetween val="midCat"/>
      </c:valAx>
      <c:valAx>
        <c:axId val="191440896"/>
        <c:scaling>
          <c:orientation val="minMax"/>
        </c:scaling>
        <c:delete val="1"/>
        <c:axPos val="t"/>
        <c:numFmt formatCode="0.00" sourceLinked="1"/>
        <c:majorTickMark val="out"/>
        <c:minorTickMark val="none"/>
        <c:tickLblPos val="nextTo"/>
        <c:crossAx val="191440504"/>
        <c:crosses val="max"/>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8.7761069528871083E-2"/>
          <c:w val="0.85486621043903055"/>
          <c:h val="0.7923958943220839"/>
        </c:manualLayout>
      </c:layout>
      <c:scatterChart>
        <c:scatterStyle val="lineMarker"/>
        <c:varyColors val="0"/>
        <c:ser>
          <c:idx val="1"/>
          <c:order val="1"/>
          <c:tx>
            <c:v>LEFT</c:v>
          </c:tx>
          <c:spPr>
            <a:ln w="3175"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1-945F-40BE-B4D3-D43E45CE5B53}"/>
            </c:ext>
          </c:extLst>
        </c:ser>
        <c:ser>
          <c:idx val="2"/>
          <c:order val="2"/>
          <c:tx>
            <c:v>RIGHT</c:v>
          </c:tx>
          <c:spPr>
            <a:ln w="25400" cap="rnd">
              <a:noFill/>
              <a:round/>
            </a:ln>
            <a:effectLst/>
          </c:spPr>
          <c:marker>
            <c:symbol val="none"/>
          </c:marker>
          <c:trendline>
            <c:spPr>
              <a:ln w="3175" cap="rnd">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3-945F-40BE-B4D3-D43E45CE5B53}"/>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layout>
                    <c:manualLayout>
                      <c:w val="9.2226701291118707E-2"/>
                      <c:h val="4.9874884551478448E-2"/>
                    </c:manualLayout>
                  </c15:layout>
                </c:ext>
                <c:ext xmlns:c16="http://schemas.microsoft.com/office/drawing/2014/chart" uri="{C3380CC4-5D6E-409C-BE32-E72D297353CC}">
                  <c16:uniqueId val="{00000004-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5-945F-40BE-B4D3-D43E45CE5B53}"/>
            </c:ext>
          </c:extLst>
        </c:ser>
        <c:ser>
          <c:idx val="3"/>
          <c:order val="4"/>
          <c:tx>
            <c:v>MAX_DT</c:v>
          </c:tx>
          <c:spPr>
            <a:ln w="3175" cap="rnd">
              <a:solidFill>
                <a:schemeClr val="tx1"/>
              </a:solid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45F-40BE-B4D3-D43E45CE5B53}"/>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7-945F-40BE-B4D3-D43E45CE5B53}"/>
            </c:ext>
          </c:extLst>
        </c:ser>
        <c:dLbls>
          <c:showLegendKey val="0"/>
          <c:showVal val="0"/>
          <c:showCatName val="0"/>
          <c:showSerName val="0"/>
          <c:showPercent val="0"/>
          <c:showBubbleSize val="0"/>
        </c:dLbls>
        <c:axId val="191435408"/>
        <c:axId val="325583336"/>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1-17C5-447B-8262-7AD45726D96C}"/>
            </c:ext>
          </c:extLst>
        </c:ser>
        <c:dLbls>
          <c:showLegendKey val="0"/>
          <c:showVal val="0"/>
          <c:showCatName val="0"/>
          <c:showSerName val="0"/>
          <c:showPercent val="0"/>
          <c:showBubbleSize val="0"/>
        </c:dLbls>
        <c:axId val="325584120"/>
        <c:axId val="325583728"/>
      </c:scatterChart>
      <c:valAx>
        <c:axId val="191435408"/>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l-GR"/>
                  <a:t>Δ</a:t>
                </a:r>
                <a:r>
                  <a:rPr lang="en-AU"/>
                  <a:t>T</a:t>
                </a:r>
                <a:r>
                  <a:rPr lang="en-AU" baseline="-25000"/>
                  <a:t>supply - room</a:t>
                </a:r>
                <a:r>
                  <a:rPr lang="en-AU"/>
                  <a:t> [K] ('-'</a:t>
                </a:r>
                <a:r>
                  <a:rPr lang="en-AU" baseline="0"/>
                  <a:t> cooling; '+' heating)</a:t>
                </a:r>
                <a:endParaRPr lang="en-AU"/>
              </a:p>
            </c:rich>
          </c:tx>
          <c:layout>
            <c:manualLayout>
              <c:xMode val="edge"/>
              <c:yMode val="edge"/>
              <c:x val="0.30742092457420922"/>
              <c:y val="0.9309434163917538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325583336"/>
        <c:crosses val="autoZero"/>
        <c:crossBetween val="midCat"/>
        <c:majorUnit val="3"/>
        <c:minorUnit val="1"/>
      </c:valAx>
      <c:valAx>
        <c:axId val="325583336"/>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1435408"/>
        <c:crosses val="autoZero"/>
        <c:crossBetween val="midCat"/>
        <c:majorUnit val="1"/>
      </c:valAx>
      <c:valAx>
        <c:axId val="325583728"/>
        <c:scaling>
          <c:orientation val="minMax"/>
          <c:max val="51"/>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5584120"/>
        <c:crosses val="max"/>
        <c:crossBetween val="midCat"/>
      </c:valAx>
      <c:valAx>
        <c:axId val="325584120"/>
        <c:scaling>
          <c:orientation val="minMax"/>
        </c:scaling>
        <c:delete val="1"/>
        <c:axPos val="t"/>
        <c:numFmt formatCode="0.00" sourceLinked="1"/>
        <c:majorTickMark val="out"/>
        <c:minorTickMark val="none"/>
        <c:tickLblPos val="nextTo"/>
        <c:crossAx val="325583728"/>
        <c:crosses val="max"/>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0.14159917510311212"/>
          <c:w val="0.85486621043903055"/>
          <c:h val="0.70931986451133"/>
        </c:manualLayout>
      </c:layout>
      <c:scatterChart>
        <c:scatterStyle val="lineMarker"/>
        <c:varyColors val="0"/>
        <c:ser>
          <c:idx val="1"/>
          <c:order val="1"/>
          <c:tx>
            <c:v>LEFT</c:v>
          </c:tx>
          <c:spPr>
            <a:ln w="3175"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0-0852-41F9-999E-A96114AC088B}"/>
            </c:ext>
          </c:extLst>
        </c:ser>
        <c:ser>
          <c:idx val="2"/>
          <c:order val="2"/>
          <c:tx>
            <c:v>RIGHT</c:v>
          </c:tx>
          <c:spPr>
            <a:ln w="25400" cap="rnd">
              <a:noFill/>
              <a:round/>
            </a:ln>
            <a:effectLst/>
          </c:spPr>
          <c:marker>
            <c:symbol val="none"/>
          </c:marker>
          <c:trendline>
            <c:spPr>
              <a:ln w="3175" cap="rnd">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2-0852-41F9-999E-A96114AC088B}"/>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layout>
                    <c:manualLayout>
                      <c:w val="9.2226701291118707E-2"/>
                      <c:h val="4.9874884551478448E-2"/>
                    </c:manualLayout>
                  </c15:layout>
                </c:ext>
                <c:ext xmlns:c16="http://schemas.microsoft.com/office/drawing/2014/chart" uri="{C3380CC4-5D6E-409C-BE32-E72D297353CC}">
                  <c16:uniqueId val="{00000003-0852-41F9-999E-A96114AC088B}"/>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4-0852-41F9-999E-A96114AC088B}"/>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0852-41F9-999E-A96114AC088B}"/>
                </c:ext>
              </c:extLst>
            </c:dLbl>
            <c:spPr>
              <a:noFill/>
              <a:ln>
                <a:noFill/>
              </a:ln>
              <a:effectLst/>
            </c:spPr>
            <c:txPr>
              <a:bodyPr rot="0" spcFirstLastPara="1" vertOverflow="ellipsis" vert="horz" wrap="square" anchor="ctr" anchorCtr="1"/>
              <a:lstStyle/>
              <a:p>
                <a:pPr>
                  <a:defRPr sz="10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6-0852-41F9-999E-A96114AC088B}"/>
            </c:ext>
          </c:extLst>
        </c:ser>
        <c:dLbls>
          <c:showLegendKey val="0"/>
          <c:showVal val="0"/>
          <c:showCatName val="0"/>
          <c:showSerName val="0"/>
          <c:showPercent val="0"/>
          <c:showBubbleSize val="0"/>
        </c:dLbls>
        <c:axId val="325584904"/>
        <c:axId val="325585296"/>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7-0852-41F9-999E-A96114AC088B}"/>
            </c:ext>
          </c:extLst>
        </c:ser>
        <c:dLbls>
          <c:showLegendKey val="0"/>
          <c:showVal val="0"/>
          <c:showCatName val="0"/>
          <c:showSerName val="0"/>
          <c:showPercent val="0"/>
          <c:showBubbleSize val="0"/>
        </c:dLbls>
        <c:axId val="325586080"/>
        <c:axId val="325585688"/>
      </c:scatterChart>
      <c:valAx>
        <c:axId val="325584904"/>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6350" cap="flat" cmpd="sng" algn="ctr">
              <a:solidFill>
                <a:schemeClr val="bg2"/>
              </a:solidFill>
              <a:round/>
            </a:ln>
            <a:effectLst/>
          </c:spPr>
        </c:minorGridlines>
        <c:title>
          <c:tx>
            <c:rich>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r>
                  <a:rPr lang="el-GR" sz="800"/>
                  <a:t>Δ</a:t>
                </a:r>
                <a:r>
                  <a:rPr lang="en-AU" sz="800"/>
                  <a:t>T</a:t>
                </a:r>
                <a:r>
                  <a:rPr lang="en-AU" sz="800" baseline="-25000"/>
                  <a:t>supply - room </a:t>
                </a:r>
                <a:r>
                  <a:rPr lang="en-AU" sz="800"/>
                  <a:t>[K] ('-' cooling; '+' heating)</a:t>
                </a:r>
              </a:p>
            </c:rich>
          </c:tx>
          <c:layout>
            <c:manualLayout>
              <c:xMode val="edge"/>
              <c:yMode val="edge"/>
              <c:x val="0.16739212620603236"/>
              <c:y val="0.91544619422572182"/>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5585296"/>
        <c:crosses val="autoZero"/>
        <c:crossBetween val="midCat"/>
        <c:majorUnit val="3"/>
        <c:minorUnit val="1"/>
      </c:valAx>
      <c:valAx>
        <c:axId val="325585296"/>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5584904"/>
        <c:crosses val="autoZero"/>
        <c:crossBetween val="midCat"/>
        <c:majorUnit val="1"/>
      </c:valAx>
      <c:valAx>
        <c:axId val="325585688"/>
        <c:scaling>
          <c:orientation val="minMax"/>
          <c:max val="13.3"/>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5586080"/>
        <c:crosses val="max"/>
        <c:crossBetween val="midCat"/>
      </c:valAx>
      <c:valAx>
        <c:axId val="325586080"/>
        <c:scaling>
          <c:orientation val="minMax"/>
        </c:scaling>
        <c:delete val="1"/>
        <c:axPos val="t"/>
        <c:numFmt formatCode="0.00" sourceLinked="1"/>
        <c:majorTickMark val="out"/>
        <c:minorTickMark val="none"/>
        <c:tickLblPos val="nextTo"/>
        <c:crossAx val="325585688"/>
        <c:crosses val="max"/>
        <c:crossBetween val="midCat"/>
      </c:valAx>
      <c:spPr>
        <a:noFill/>
        <a:ln>
          <a:solidFill>
            <a:schemeClr val="tx1">
              <a:lumMod val="5000"/>
              <a:lumOff val="95000"/>
            </a:schemeClr>
          </a:solidFill>
        </a:ln>
        <a:effectLst/>
      </c:spPr>
    </c:plotArea>
    <c:plotVisOnly val="1"/>
    <c:dispBlanksAs val="gap"/>
    <c:showDLblsOverMax val="0"/>
  </c:chart>
  <c:spPr>
    <a:solidFill>
      <a:schemeClr val="bg1"/>
    </a:solidFill>
    <a:ln w="9525" cap="flat" cmpd="sng" algn="ctr">
      <a:noFill/>
      <a:round/>
    </a:ln>
    <a:effectLst/>
  </c:spPr>
  <c:txPr>
    <a:bodyPr/>
    <a:lstStyle/>
    <a:p>
      <a:pPr>
        <a:defRPr sz="1000"/>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0.16534029470188302"/>
          <c:w val="0.85486621043903055"/>
          <c:h val="0.69700515604408142"/>
        </c:manualLayout>
      </c:layout>
      <c:scatterChart>
        <c:scatterStyle val="lineMarker"/>
        <c:varyColors val="0"/>
        <c:ser>
          <c:idx val="1"/>
          <c:order val="1"/>
          <c:tx>
            <c:v>LEFT</c:v>
          </c:tx>
          <c:spPr>
            <a:ln w="6350"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0-C5C9-40D6-8872-393F5D3BC548}"/>
            </c:ext>
          </c:extLst>
        </c:ser>
        <c:ser>
          <c:idx val="2"/>
          <c:order val="2"/>
          <c:tx>
            <c:v>RIGHT</c:v>
          </c:tx>
          <c:spPr>
            <a:ln w="25400" cap="rnd">
              <a:noFill/>
              <a:round/>
            </a:ln>
            <a:effectLst/>
          </c:spPr>
          <c:marker>
            <c:symbol val="none"/>
          </c:marker>
          <c:trendline>
            <c:spPr>
              <a:ln w="6350" cap="rnd">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2-C5C9-40D6-8872-393F5D3BC548}"/>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layout>
                    <c:manualLayout>
                      <c:w val="9.2226701291118707E-2"/>
                      <c:h val="4.9874884551478448E-2"/>
                    </c:manualLayout>
                  </c15:layout>
                </c:ext>
                <c:ext xmlns:c16="http://schemas.microsoft.com/office/drawing/2014/chart" uri="{C3380CC4-5D6E-409C-BE32-E72D297353CC}">
                  <c16:uniqueId val="{00000003-C5C9-40D6-8872-393F5D3BC54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4-C5C9-40D6-8872-393F5D3BC548}"/>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C9-40D6-8872-393F5D3BC548}"/>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6-C5C9-40D6-8872-393F5D3BC548}"/>
            </c:ext>
          </c:extLst>
        </c:ser>
        <c:dLbls>
          <c:showLegendKey val="0"/>
          <c:showVal val="0"/>
          <c:showCatName val="0"/>
          <c:showSerName val="0"/>
          <c:showPercent val="0"/>
          <c:showBubbleSize val="0"/>
        </c:dLbls>
        <c:axId val="325586864"/>
        <c:axId val="325587256"/>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7-C5C9-40D6-8872-393F5D3BC548}"/>
            </c:ext>
          </c:extLst>
        </c:ser>
        <c:dLbls>
          <c:showLegendKey val="0"/>
          <c:showVal val="0"/>
          <c:showCatName val="0"/>
          <c:showSerName val="0"/>
          <c:showPercent val="0"/>
          <c:showBubbleSize val="0"/>
        </c:dLbls>
        <c:axId val="325588040"/>
        <c:axId val="325587648"/>
      </c:scatterChart>
      <c:valAx>
        <c:axId val="325586864"/>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6350" cap="flat" cmpd="sng" algn="ctr">
              <a:solidFill>
                <a:schemeClr val="bg2"/>
              </a:solidFill>
              <a:round/>
            </a:ln>
            <a:effectLst/>
          </c:spPr>
        </c:minorGridlines>
        <c:title>
          <c:tx>
            <c:rich>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r>
                  <a:rPr lang="el-GR" sz="800"/>
                  <a:t>Δ</a:t>
                </a:r>
                <a:r>
                  <a:rPr lang="en-AU" sz="800"/>
                  <a:t>T</a:t>
                </a:r>
                <a:r>
                  <a:rPr lang="en-AU" sz="800" baseline="-25000"/>
                  <a:t>supply - room</a:t>
                </a:r>
                <a:r>
                  <a:rPr lang="en-AU" sz="800"/>
                  <a:t> [K] ('-'</a:t>
                </a:r>
                <a:r>
                  <a:rPr lang="en-AU" sz="800" baseline="0"/>
                  <a:t> cooling; '+' heating)</a:t>
                </a:r>
                <a:endParaRPr lang="en-AU" sz="800"/>
              </a:p>
            </c:rich>
          </c:tx>
          <c:layout>
            <c:manualLayout>
              <c:xMode val="edge"/>
              <c:yMode val="edge"/>
              <c:x val="0.1988093533762825"/>
              <c:y val="0.92159858403968509"/>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800" b="0" i="0" u="none" strike="noStrike" kern="1200" baseline="0">
                <a:solidFill>
                  <a:schemeClr val="tx1">
                    <a:lumMod val="65000"/>
                    <a:lumOff val="35000"/>
                  </a:schemeClr>
                </a:solidFill>
                <a:latin typeface="+mn-lt"/>
                <a:ea typeface="+mn-ea"/>
                <a:cs typeface="+mn-cs"/>
              </a:defRPr>
            </a:pPr>
            <a:endParaRPr lang="en-US"/>
          </a:p>
        </c:txPr>
        <c:crossAx val="325587256"/>
        <c:crosses val="autoZero"/>
        <c:crossBetween val="midCat"/>
        <c:majorUnit val="3"/>
        <c:minorUnit val="1"/>
      </c:valAx>
      <c:valAx>
        <c:axId val="325587256"/>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5586864"/>
        <c:crosses val="autoZero"/>
        <c:crossBetween val="midCat"/>
        <c:majorUnit val="1"/>
      </c:valAx>
      <c:valAx>
        <c:axId val="325587648"/>
        <c:scaling>
          <c:orientation val="minMax"/>
          <c:max val="18.600000000000001"/>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5588040"/>
        <c:crosses val="max"/>
        <c:crossBetween val="midCat"/>
      </c:valAx>
      <c:valAx>
        <c:axId val="325588040"/>
        <c:scaling>
          <c:orientation val="minMax"/>
        </c:scaling>
        <c:delete val="1"/>
        <c:axPos val="t"/>
        <c:numFmt formatCode="0.00" sourceLinked="1"/>
        <c:majorTickMark val="out"/>
        <c:minorTickMark val="none"/>
        <c:tickLblPos val="nextTo"/>
        <c:crossAx val="325587648"/>
        <c:crosses val="max"/>
        <c:crossBetween val="midCat"/>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0.15940306015353592"/>
          <c:w val="0.85486621043903055"/>
          <c:h val="0.70294239059242847"/>
        </c:manualLayout>
      </c:layout>
      <c:scatterChart>
        <c:scatterStyle val="lineMarker"/>
        <c:varyColors val="0"/>
        <c:ser>
          <c:idx val="1"/>
          <c:order val="1"/>
          <c:tx>
            <c:v>LEFT</c:v>
          </c:tx>
          <c:spPr>
            <a:ln w="6350"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0-F0DD-4BBA-BE33-B27A5B95F870}"/>
            </c:ext>
          </c:extLst>
        </c:ser>
        <c:ser>
          <c:idx val="2"/>
          <c:order val="2"/>
          <c:tx>
            <c:v>RIGHT</c:v>
          </c:tx>
          <c:spPr>
            <a:ln w="25400" cap="rnd">
              <a:noFill/>
              <a:round/>
            </a:ln>
            <a:effectLst/>
          </c:spPr>
          <c:marker>
            <c:symbol val="none"/>
          </c:marker>
          <c:trendline>
            <c:spPr>
              <a:ln w="6350" cap="rnd">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2-F0DD-4BBA-BE33-B27A5B95F870}"/>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layout>
                    <c:manualLayout>
                      <c:w val="9.2226701291118707E-2"/>
                      <c:h val="4.9874884551478448E-2"/>
                    </c:manualLayout>
                  </c15:layout>
                </c:ext>
                <c:ext xmlns:c16="http://schemas.microsoft.com/office/drawing/2014/chart" uri="{C3380CC4-5D6E-409C-BE32-E72D297353CC}">
                  <c16:uniqueId val="{00000003-F0DD-4BBA-BE33-B27A5B95F87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4-F0DD-4BBA-BE33-B27A5B95F870}"/>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F0DD-4BBA-BE33-B27A5B95F87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6-F0DD-4BBA-BE33-B27A5B95F870}"/>
            </c:ext>
          </c:extLst>
        </c:ser>
        <c:dLbls>
          <c:showLegendKey val="0"/>
          <c:showVal val="0"/>
          <c:showCatName val="0"/>
          <c:showSerName val="0"/>
          <c:showPercent val="0"/>
          <c:showBubbleSize val="0"/>
        </c:dLbls>
        <c:axId val="325588824"/>
        <c:axId val="325589216"/>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7-F0DD-4BBA-BE33-B27A5B95F870}"/>
            </c:ext>
          </c:extLst>
        </c:ser>
        <c:dLbls>
          <c:showLegendKey val="0"/>
          <c:showVal val="0"/>
          <c:showCatName val="0"/>
          <c:showSerName val="0"/>
          <c:showPercent val="0"/>
          <c:showBubbleSize val="0"/>
        </c:dLbls>
        <c:axId val="325590000"/>
        <c:axId val="325589608"/>
      </c:scatterChart>
      <c:valAx>
        <c:axId val="325588824"/>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6350" cap="flat" cmpd="sng" algn="ctr">
              <a:solidFill>
                <a:schemeClr val="bg2"/>
              </a:solidFill>
              <a:round/>
            </a:ln>
            <a:effectLst/>
          </c:spPr>
        </c:minorGridlines>
        <c:title>
          <c:tx>
            <c:rich>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r>
                  <a:rPr lang="el-GR" sz="800"/>
                  <a:t>Δ</a:t>
                </a:r>
                <a:r>
                  <a:rPr lang="en-AU" sz="800"/>
                  <a:t>T</a:t>
                </a:r>
                <a:r>
                  <a:rPr lang="en-AU" sz="800" baseline="-25000"/>
                  <a:t>supply - room</a:t>
                </a:r>
                <a:r>
                  <a:rPr lang="en-AU" sz="800"/>
                  <a:t> [K] ('-'</a:t>
                </a:r>
                <a:r>
                  <a:rPr lang="en-AU" sz="800" baseline="0"/>
                  <a:t> cooling; '+' heating)</a:t>
                </a:r>
                <a:endParaRPr lang="en-AU" sz="800"/>
              </a:p>
            </c:rich>
          </c:tx>
          <c:layout>
            <c:manualLayout>
              <c:xMode val="edge"/>
              <c:yMode val="edge"/>
              <c:x val="0.21651191328356686"/>
              <c:y val="0.92421096724095775"/>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800" b="0" i="0" u="none" strike="noStrike" kern="1200" baseline="0">
                <a:solidFill>
                  <a:schemeClr val="tx1">
                    <a:lumMod val="65000"/>
                    <a:lumOff val="35000"/>
                  </a:schemeClr>
                </a:solidFill>
                <a:latin typeface="+mn-lt"/>
                <a:ea typeface="+mn-ea"/>
                <a:cs typeface="+mn-cs"/>
              </a:defRPr>
            </a:pPr>
            <a:endParaRPr lang="en-US"/>
          </a:p>
        </c:txPr>
        <c:crossAx val="325589216"/>
        <c:crosses val="autoZero"/>
        <c:crossBetween val="midCat"/>
        <c:majorUnit val="3"/>
        <c:minorUnit val="1"/>
      </c:valAx>
      <c:valAx>
        <c:axId val="325589216"/>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5588824"/>
        <c:crosses val="autoZero"/>
        <c:crossBetween val="midCat"/>
        <c:majorUnit val="1"/>
      </c:valAx>
      <c:valAx>
        <c:axId val="325589608"/>
        <c:scaling>
          <c:orientation val="minMax"/>
          <c:max val="26"/>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5590000"/>
        <c:crosses val="max"/>
        <c:crossBetween val="midCat"/>
      </c:valAx>
      <c:valAx>
        <c:axId val="325590000"/>
        <c:scaling>
          <c:orientation val="minMax"/>
        </c:scaling>
        <c:delete val="1"/>
        <c:axPos val="t"/>
        <c:numFmt formatCode="0.00" sourceLinked="1"/>
        <c:majorTickMark val="out"/>
        <c:minorTickMark val="none"/>
        <c:tickLblPos val="nextTo"/>
        <c:crossAx val="325589608"/>
        <c:crosses val="max"/>
        <c:crossBetween val="midCat"/>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0.15352626709401609"/>
          <c:w val="0.85486621043903055"/>
          <c:h val="0.71469539136445293"/>
        </c:manualLayout>
      </c:layout>
      <c:scatterChart>
        <c:scatterStyle val="lineMarker"/>
        <c:varyColors val="0"/>
        <c:ser>
          <c:idx val="1"/>
          <c:order val="1"/>
          <c:tx>
            <c:v>LEFT</c:v>
          </c:tx>
          <c:spPr>
            <a:ln w="6350"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0-27A2-4DAA-8CFA-20120F3CFD72}"/>
            </c:ext>
          </c:extLst>
        </c:ser>
        <c:ser>
          <c:idx val="2"/>
          <c:order val="2"/>
          <c:tx>
            <c:v>RIGHT</c:v>
          </c:tx>
          <c:spPr>
            <a:ln w="25400" cap="rnd">
              <a:noFill/>
              <a:round/>
            </a:ln>
            <a:effectLst/>
          </c:spPr>
          <c:marker>
            <c:symbol val="none"/>
          </c:marker>
          <c:trendline>
            <c:spPr>
              <a:ln w="6350" cap="rnd">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2-27A2-4DAA-8CFA-20120F3CFD72}"/>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layout>
                    <c:manualLayout>
                      <c:w val="9.2226701291118707E-2"/>
                      <c:h val="4.9874884551478448E-2"/>
                    </c:manualLayout>
                  </c15:layout>
                </c:ext>
                <c:ext xmlns:c16="http://schemas.microsoft.com/office/drawing/2014/chart" uri="{C3380CC4-5D6E-409C-BE32-E72D297353CC}">
                  <c16:uniqueId val="{00000003-27A2-4DAA-8CFA-20120F3CFD7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4-27A2-4DAA-8CFA-20120F3CFD72}"/>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27A2-4DAA-8CFA-20120F3CFD7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6-27A2-4DAA-8CFA-20120F3CFD72}"/>
            </c:ext>
          </c:extLst>
        </c:ser>
        <c:dLbls>
          <c:showLegendKey val="0"/>
          <c:showVal val="0"/>
          <c:showCatName val="0"/>
          <c:showSerName val="0"/>
          <c:showPercent val="0"/>
          <c:showBubbleSize val="0"/>
        </c:dLbls>
        <c:axId val="188955872"/>
        <c:axId val="188955480"/>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7-27A2-4DAA-8CFA-20120F3CFD72}"/>
            </c:ext>
          </c:extLst>
        </c:ser>
        <c:dLbls>
          <c:showLegendKey val="0"/>
          <c:showVal val="0"/>
          <c:showCatName val="0"/>
          <c:showSerName val="0"/>
          <c:showPercent val="0"/>
          <c:showBubbleSize val="0"/>
        </c:dLbls>
        <c:axId val="188954696"/>
        <c:axId val="188955088"/>
      </c:scatterChart>
      <c:valAx>
        <c:axId val="188955872"/>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6350" cap="flat" cmpd="sng" algn="ctr">
              <a:solidFill>
                <a:schemeClr val="bg2"/>
              </a:solidFill>
              <a:round/>
            </a:ln>
            <a:effectLst/>
          </c:spPr>
        </c:minorGridlines>
        <c:title>
          <c:tx>
            <c:rich>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r>
                  <a:rPr lang="el-GR" sz="800"/>
                  <a:t>Δ</a:t>
                </a:r>
                <a:r>
                  <a:rPr lang="en-AU" sz="800"/>
                  <a:t>T</a:t>
                </a:r>
                <a:r>
                  <a:rPr lang="en-AU" sz="800" baseline="-25000"/>
                  <a:t>supply - room</a:t>
                </a:r>
                <a:r>
                  <a:rPr lang="en-AU" sz="800"/>
                  <a:t> [K] ('-'</a:t>
                </a:r>
                <a:r>
                  <a:rPr lang="en-AU" sz="800" baseline="0"/>
                  <a:t> cooling; '+' heating)</a:t>
                </a:r>
                <a:endParaRPr lang="en-AU" sz="800"/>
              </a:p>
            </c:rich>
          </c:tx>
          <c:layout>
            <c:manualLayout>
              <c:xMode val="edge"/>
              <c:yMode val="edge"/>
              <c:x val="0.20803819344618482"/>
              <c:y val="0.92382328935318214"/>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800" b="0" i="0" u="none" strike="noStrike" kern="1200" baseline="0">
                <a:solidFill>
                  <a:schemeClr val="tx1">
                    <a:lumMod val="65000"/>
                    <a:lumOff val="35000"/>
                  </a:schemeClr>
                </a:solidFill>
                <a:latin typeface="+mn-lt"/>
                <a:ea typeface="+mn-ea"/>
                <a:cs typeface="+mn-cs"/>
              </a:defRPr>
            </a:pPr>
            <a:endParaRPr lang="en-US"/>
          </a:p>
        </c:txPr>
        <c:crossAx val="188955480"/>
        <c:crosses val="autoZero"/>
        <c:crossBetween val="midCat"/>
        <c:majorUnit val="3"/>
        <c:minorUnit val="1"/>
      </c:valAx>
      <c:valAx>
        <c:axId val="188955480"/>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188955872"/>
        <c:crosses val="autoZero"/>
        <c:crossBetween val="midCat"/>
        <c:majorUnit val="1"/>
      </c:valAx>
      <c:valAx>
        <c:axId val="188955088"/>
        <c:scaling>
          <c:orientation val="minMax"/>
          <c:max val="36.5"/>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188954696"/>
        <c:crosses val="max"/>
        <c:crossBetween val="midCat"/>
      </c:valAx>
      <c:valAx>
        <c:axId val="188954696"/>
        <c:scaling>
          <c:orientation val="minMax"/>
        </c:scaling>
        <c:delete val="1"/>
        <c:axPos val="t"/>
        <c:numFmt formatCode="0.00" sourceLinked="1"/>
        <c:majorTickMark val="out"/>
        <c:minorTickMark val="none"/>
        <c:tickLblPos val="nextTo"/>
        <c:crossAx val="188955088"/>
        <c:crosses val="max"/>
        <c:crossBetween val="midCat"/>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4428223844282225E-2"/>
          <c:y val="0.15349596925384326"/>
          <c:w val="0.85486621043903055"/>
          <c:h val="0.70285151856018002"/>
        </c:manualLayout>
      </c:layout>
      <c:scatterChart>
        <c:scatterStyle val="lineMarker"/>
        <c:varyColors val="0"/>
        <c:ser>
          <c:idx val="1"/>
          <c:order val="1"/>
          <c:tx>
            <c:v>LEFT</c:v>
          </c:tx>
          <c:spPr>
            <a:ln w="6350" cap="rnd">
              <a:solidFill>
                <a:schemeClr val="tx2"/>
              </a:solidFill>
              <a:prstDash val="solid"/>
              <a:round/>
            </a:ln>
            <a:effectLst/>
          </c:spPr>
          <c:marker>
            <c:symbol val="none"/>
          </c:marker>
          <c:xVal>
            <c:numRef>
              <c:f>'Equations HSC-AD'!$C$284:$C$286</c:f>
              <c:numCache>
                <c:formatCode>General</c:formatCode>
                <c:ptCount val="3"/>
                <c:pt idx="0">
                  <c:v>-12</c:v>
                </c:pt>
                <c:pt idx="1">
                  <c:v>-6</c:v>
                </c:pt>
                <c:pt idx="2">
                  <c:v>0</c:v>
                </c:pt>
              </c:numCache>
            </c:numRef>
          </c:xVal>
          <c:yVal>
            <c:numRef>
              <c:f>'Equations HSC-AD'!$D$284:$D$286</c:f>
              <c:numCache>
                <c:formatCode>General</c:formatCode>
                <c:ptCount val="3"/>
                <c:pt idx="0">
                  <c:v>10</c:v>
                </c:pt>
                <c:pt idx="1">
                  <c:v>10</c:v>
                </c:pt>
                <c:pt idx="2" formatCode="0.00">
                  <c:v>7.6236533915934102</c:v>
                </c:pt>
              </c:numCache>
            </c:numRef>
          </c:yVal>
          <c:smooth val="0"/>
          <c:extLst>
            <c:ext xmlns:c16="http://schemas.microsoft.com/office/drawing/2014/chart" uri="{C3380CC4-5D6E-409C-BE32-E72D297353CC}">
              <c16:uniqueId val="{00000000-BC58-4C00-9DA6-1D89BAE1C8C6}"/>
            </c:ext>
          </c:extLst>
        </c:ser>
        <c:ser>
          <c:idx val="2"/>
          <c:order val="2"/>
          <c:tx>
            <c:v>RIGHT</c:v>
          </c:tx>
          <c:spPr>
            <a:ln w="25400" cap="rnd">
              <a:noFill/>
              <a:round/>
            </a:ln>
            <a:effectLst/>
          </c:spPr>
          <c:marker>
            <c:symbol val="none"/>
          </c:marker>
          <c:trendline>
            <c:spPr>
              <a:ln w="6350" cap="rnd">
                <a:solidFill>
                  <a:schemeClr val="tx2"/>
                </a:solidFill>
                <a:prstDash val="solid"/>
              </a:ln>
              <a:effectLst/>
            </c:spPr>
            <c:trendlineType val="linear"/>
            <c:dispRSqr val="0"/>
            <c:dispEq val="0"/>
          </c:trendline>
          <c:xVal>
            <c:numRef>
              <c:f>'Equations HSC-AD'!$C$286:$C$287</c:f>
              <c:numCache>
                <c:formatCode>General</c:formatCode>
                <c:ptCount val="2"/>
                <c:pt idx="0">
                  <c:v>0</c:v>
                </c:pt>
                <c:pt idx="1">
                  <c:v>7.0995367910966101</c:v>
                </c:pt>
              </c:numCache>
            </c:numRef>
          </c:xVal>
          <c:yVal>
            <c:numRef>
              <c:f>'Equations HSC-AD'!$D$286:$D$287</c:f>
              <c:numCache>
                <c:formatCode>General</c:formatCode>
                <c:ptCount val="2"/>
                <c:pt idx="0" formatCode="0.00">
                  <c:v>7.6236533915934102</c:v>
                </c:pt>
                <c:pt idx="1">
                  <c:v>2</c:v>
                </c:pt>
              </c:numCache>
            </c:numRef>
          </c:yVal>
          <c:smooth val="0"/>
          <c:extLst>
            <c:ext xmlns:c16="http://schemas.microsoft.com/office/drawing/2014/chart" uri="{C3380CC4-5D6E-409C-BE32-E72D297353CC}">
              <c16:uniqueId val="{00000002-BC58-4C00-9DA6-1D89BAE1C8C6}"/>
            </c:ext>
          </c:extLst>
        </c:ser>
        <c:ser>
          <c:idx val="0"/>
          <c:order val="3"/>
          <c:tx>
            <c:v>INT</c:v>
          </c:tx>
          <c:spPr>
            <a:ln w="25400" cap="rnd">
              <a:noFill/>
              <a:round/>
            </a:ln>
            <a:effectLst/>
          </c:spPr>
          <c:marker>
            <c:symbol val="none"/>
          </c:marker>
          <c:dLbls>
            <c:dLbl>
              <c:idx val="0"/>
              <c:layout>
                <c:manualLayout>
                  <c:x val="-4.3348330164655359E-17"/>
                  <c:y val="1.4040562060547958E-7"/>
                </c:manualLayout>
              </c:layout>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layout>
                    <c:manualLayout>
                      <c:w val="9.2226701291118707E-2"/>
                      <c:h val="4.9874884551478448E-2"/>
                    </c:manualLayout>
                  </c15:layout>
                </c:ext>
                <c:ext xmlns:c16="http://schemas.microsoft.com/office/drawing/2014/chart" uri="{C3380CC4-5D6E-409C-BE32-E72D297353CC}">
                  <c16:uniqueId val="{00000003-BC58-4C00-9DA6-1D89BAE1C8C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HSC-AD'!$C$286</c:f>
              <c:numCache>
                <c:formatCode>General</c:formatCode>
                <c:ptCount val="1"/>
                <c:pt idx="0">
                  <c:v>0</c:v>
                </c:pt>
              </c:numCache>
            </c:numRef>
          </c:xVal>
          <c:yVal>
            <c:numRef>
              <c:f>'Equations HSC-AD'!$D$286</c:f>
              <c:numCache>
                <c:formatCode>0.00</c:formatCode>
                <c:ptCount val="1"/>
                <c:pt idx="0">
                  <c:v>7.6236533915934102</c:v>
                </c:pt>
              </c:numCache>
            </c:numRef>
          </c:yVal>
          <c:smooth val="0"/>
          <c:extLst>
            <c:ext xmlns:c16="http://schemas.microsoft.com/office/drawing/2014/chart" uri="{C3380CC4-5D6E-409C-BE32-E72D297353CC}">
              <c16:uniqueId val="{00000004-BC58-4C00-9DA6-1D89BAE1C8C6}"/>
            </c:ext>
          </c:extLst>
        </c:ser>
        <c:ser>
          <c:idx val="3"/>
          <c:order val="4"/>
          <c:tx>
            <c:v>MAX_DT</c:v>
          </c:tx>
          <c:spPr>
            <a:ln w="25400" cap="rnd">
              <a:noFill/>
              <a:round/>
            </a:ln>
            <a:effectLst/>
          </c:spPr>
          <c:marker>
            <c:symbol val="none"/>
          </c:marker>
          <c:dLbls>
            <c:dLbl>
              <c:idx val="0"/>
              <c:tx>
                <c:rich>
                  <a:bodyPr/>
                  <a:lstStyle/>
                  <a:p>
                    <a:endParaRPr lang="en-US"/>
                  </a:p>
                </c:rich>
              </c:tx>
              <c:showLegendKey val="0"/>
              <c:showVal val="0"/>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BC58-4C00-9DA6-1D89BAE1C8C6}"/>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'Equations HSC-AD'!$C$287</c:f>
              <c:numCache>
                <c:formatCode>General</c:formatCode>
                <c:ptCount val="1"/>
                <c:pt idx="0">
                  <c:v>7.0995367910966101</c:v>
                </c:pt>
              </c:numCache>
            </c:numRef>
          </c:xVal>
          <c:yVal>
            <c:numRef>
              <c:f>'Equations HSC-AD'!$D$287</c:f>
              <c:numCache>
                <c:formatCode>General</c:formatCode>
                <c:ptCount val="1"/>
                <c:pt idx="0">
                  <c:v>2</c:v>
                </c:pt>
              </c:numCache>
            </c:numRef>
          </c:yVal>
          <c:smooth val="0"/>
          <c:extLst>
            <c:ext xmlns:c16="http://schemas.microsoft.com/office/drawing/2014/chart" uri="{C3380CC4-5D6E-409C-BE32-E72D297353CC}">
              <c16:uniqueId val="{00000006-BC58-4C00-9DA6-1D89BAE1C8C6}"/>
            </c:ext>
          </c:extLst>
        </c:ser>
        <c:dLbls>
          <c:showLegendKey val="0"/>
          <c:showVal val="0"/>
          <c:showCatName val="0"/>
          <c:showSerName val="0"/>
          <c:showPercent val="0"/>
          <c:showBubbleSize val="0"/>
        </c:dLbls>
        <c:axId val="326167560"/>
        <c:axId val="326167952"/>
      </c:scatterChart>
      <c:scatterChart>
        <c:scatterStyle val="lineMarker"/>
        <c:varyColors val="0"/>
        <c:ser>
          <c:idx val="5"/>
          <c:order val="0"/>
          <c:tx>
            <c:v>dT</c:v>
          </c:tx>
          <c:spPr>
            <a:ln w="25400" cap="rnd">
              <a:noFill/>
              <a:round/>
            </a:ln>
            <a:effectLst/>
          </c:spPr>
          <c:marker>
            <c:symbol val="x"/>
            <c:size val="5"/>
            <c:spPr>
              <a:noFill/>
              <a:ln w="9525">
                <a:solidFill>
                  <a:schemeClr val="accent2">
                    <a:lumMod val="75000"/>
                  </a:schemeClr>
                </a:solidFill>
              </a:ln>
              <a:effectLst/>
            </c:spPr>
          </c:marker>
          <c:xVal>
            <c:numRef>
              <c:f>'Equations HSC-AD'!$D$290</c:f>
              <c:numCache>
                <c:formatCode>0.00</c:formatCode>
                <c:ptCount val="1"/>
                <c:pt idx="0">
                  <c:v>0</c:v>
                </c:pt>
              </c:numCache>
            </c:numRef>
          </c:xVal>
          <c:yVal>
            <c:numRef>
              <c:f>'Equations HSC-AD'!$E$290</c:f>
              <c:numCache>
                <c:formatCode>0.00</c:formatCode>
                <c:ptCount val="1"/>
                <c:pt idx="0">
                  <c:v>-10</c:v>
                </c:pt>
              </c:numCache>
            </c:numRef>
          </c:yVal>
          <c:smooth val="0"/>
          <c:extLst>
            <c:ext xmlns:c16="http://schemas.microsoft.com/office/drawing/2014/chart" uri="{C3380CC4-5D6E-409C-BE32-E72D297353CC}">
              <c16:uniqueId val="{00000007-BC58-4C00-9DA6-1D89BAE1C8C6}"/>
            </c:ext>
          </c:extLst>
        </c:ser>
        <c:dLbls>
          <c:showLegendKey val="0"/>
          <c:showVal val="0"/>
          <c:showCatName val="0"/>
          <c:showSerName val="0"/>
          <c:showPercent val="0"/>
          <c:showBubbleSize val="0"/>
        </c:dLbls>
        <c:axId val="326168736"/>
        <c:axId val="326168344"/>
      </c:scatterChart>
      <c:valAx>
        <c:axId val="326167560"/>
        <c:scaling>
          <c:orientation val="minMax"/>
          <c:min val="-12"/>
        </c:scaling>
        <c:delete val="0"/>
        <c:axPos val="b"/>
        <c:majorGridlines>
          <c:spPr>
            <a:ln w="9525" cap="flat" cmpd="sng" algn="ctr">
              <a:solidFill>
                <a:schemeClr val="tx1">
                  <a:lumMod val="15000"/>
                  <a:lumOff val="85000"/>
                </a:schemeClr>
              </a:solidFill>
              <a:round/>
            </a:ln>
            <a:effectLst/>
          </c:spPr>
        </c:majorGridlines>
        <c:minorGridlines>
          <c:spPr>
            <a:ln w="6350" cap="flat" cmpd="sng" algn="ctr">
              <a:solidFill>
                <a:schemeClr val="bg2"/>
              </a:solidFill>
              <a:round/>
            </a:ln>
            <a:effectLst/>
          </c:spPr>
        </c:minorGridlines>
        <c:title>
          <c:tx>
            <c:rich>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r>
                  <a:rPr lang="el-GR" sz="800"/>
                  <a:t>Δ</a:t>
                </a:r>
                <a:r>
                  <a:rPr lang="en-AU" sz="800"/>
                  <a:t>T</a:t>
                </a:r>
                <a:r>
                  <a:rPr lang="en-AU" sz="800" baseline="-25000"/>
                  <a:t>supply - room</a:t>
                </a:r>
                <a:r>
                  <a:rPr lang="en-AU" sz="800"/>
                  <a:t> [K] ('-'</a:t>
                </a:r>
                <a:r>
                  <a:rPr lang="en-AU" sz="800" baseline="0"/>
                  <a:t> cooling; '+' heating)</a:t>
                </a:r>
                <a:endParaRPr lang="en-AU" sz="800"/>
              </a:p>
            </c:rich>
          </c:tx>
          <c:layout>
            <c:manualLayout>
              <c:xMode val="edge"/>
              <c:yMode val="edge"/>
              <c:x val="0.1993962185575863"/>
              <c:y val="0.92401762279715038"/>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title>
        <c:numFmt formatCode="\+0.0;\-0.0;0.0" sourceLinked="0"/>
        <c:majorTickMark val="none"/>
        <c:minorTickMark val="none"/>
        <c:tickLblPos val="low"/>
        <c:spPr>
          <a:noFill/>
          <a:ln w="9525" cap="flat" cmpd="sng" algn="ctr">
            <a:solidFill>
              <a:schemeClr val="tx1">
                <a:lumMod val="25000"/>
                <a:lumOff val="75000"/>
              </a:schemeClr>
            </a:solidFill>
            <a:round/>
          </a:ln>
          <a:effectLst/>
        </c:spPr>
        <c:txPr>
          <a:bodyPr rot="-60000000" spcFirstLastPara="1" vertOverflow="ellipsis" vert="horz" wrap="square" anchor="b" anchorCtr="0"/>
          <a:lstStyle/>
          <a:p>
            <a:pPr>
              <a:defRPr sz="900" b="0" i="0" u="none" strike="noStrike" kern="1200" baseline="0">
                <a:solidFill>
                  <a:schemeClr val="tx1">
                    <a:lumMod val="65000"/>
                    <a:lumOff val="35000"/>
                  </a:schemeClr>
                </a:solidFill>
                <a:latin typeface="+mn-lt"/>
                <a:ea typeface="+mn-ea"/>
                <a:cs typeface="+mn-cs"/>
              </a:defRPr>
            </a:pPr>
            <a:endParaRPr lang="en-US"/>
          </a:p>
        </c:txPr>
        <c:crossAx val="326167952"/>
        <c:crosses val="autoZero"/>
        <c:crossBetween val="midCat"/>
        <c:majorUnit val="3"/>
        <c:minorUnit val="1"/>
      </c:valAx>
      <c:valAx>
        <c:axId val="326167952"/>
        <c:scaling>
          <c:orientation val="minMax"/>
          <c:max val="10"/>
          <c:min val="2"/>
        </c:scaling>
        <c:delete val="0"/>
        <c:axPos val="l"/>
        <c:majorGridlines>
          <c:spPr>
            <a:ln w="9525" cap="flat" cmpd="sng" algn="ctr">
              <a:solidFill>
                <a:schemeClr val="tx1">
                  <a:lumMod val="15000"/>
                  <a:lumOff val="85000"/>
                </a:schemeClr>
              </a:solidFill>
              <a:round/>
            </a:ln>
            <a:effectLst/>
          </c:spPr>
        </c:majorGridlines>
        <c:numFmt formatCode="0\ \V" sourceLinked="0"/>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6167560"/>
        <c:crosses val="autoZero"/>
        <c:crossBetween val="midCat"/>
        <c:majorUnit val="1"/>
      </c:valAx>
      <c:valAx>
        <c:axId val="326168344"/>
        <c:scaling>
          <c:orientation val="minMax"/>
          <c:max val="51"/>
          <c:min val="0"/>
        </c:scaling>
        <c:delete val="0"/>
        <c:axPos val="r"/>
        <c:numFmt formatCode="0\ &quot;mm&quot;" sourceLinked="0"/>
        <c:majorTickMark val="cross"/>
        <c:minorTickMark val="none"/>
        <c:tickLblPos val="high"/>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326168736"/>
        <c:crosses val="max"/>
        <c:crossBetween val="midCat"/>
      </c:valAx>
      <c:valAx>
        <c:axId val="326168736"/>
        <c:scaling>
          <c:orientation val="minMax"/>
        </c:scaling>
        <c:delete val="1"/>
        <c:axPos val="t"/>
        <c:numFmt formatCode="0.00" sourceLinked="1"/>
        <c:majorTickMark val="out"/>
        <c:minorTickMark val="none"/>
        <c:tickLblPos val="nextTo"/>
        <c:crossAx val="326168344"/>
        <c:crosses val="max"/>
        <c:crossBetween val="midCat"/>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CheckBox" fmlaLink="'Equations HSC-AD'!$C$22" lockText="1"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Radio" checked="Checked" firstButton="1" fmlaLink="'Equations HSC-AD'!$C$61"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Radio" lockText="1" noThreeD="1"/>
</file>

<file path=xl/ctrlProps/ctrlProp6.xml><?xml version="1.0" encoding="utf-8"?>
<formControlPr xmlns="http://schemas.microsoft.com/office/spreadsheetml/2009/9/main" objectType="GBox" noThreeD="1"/>
</file>

<file path=xl/ctrlProps/ctrlProp7.xml><?xml version="1.0" encoding="utf-8"?>
<formControlPr xmlns="http://schemas.microsoft.com/office/spreadsheetml/2009/9/main" objectType="Radio" checked="Checked" firstButton="1" fmlaLink="'HSC-AD data'!$C$29" lockText="1" noThreeD="1"/>
</file>

<file path=xl/ctrlProps/ctrlProp8.xml><?xml version="1.0" encoding="utf-8"?>
<formControlPr xmlns="http://schemas.microsoft.com/office/spreadsheetml/2009/9/main" objectType="Radio" lockText="1" noThreeD="1"/>
</file>

<file path=xl/ctrlProps/ctrlProp9.xml><?xml version="1.0" encoding="utf-8"?>
<formControlPr xmlns="http://schemas.microsoft.com/office/spreadsheetml/2009/9/main" objectType="Radio" lockText="1" noThreeD="1"/>
</file>

<file path=xl/ctrlProps/ctrlProp10.xml><?xml version="1.0" encoding="utf-8"?>
<formControlPr xmlns="http://schemas.microsoft.com/office/spreadsheetml/2009/9/main" objectType="GBox" noThreeD="1"/>
</file>

<file path=xl/ctrlProps/ctrlProp11.xml><?xml version="1.0" encoding="utf-8"?>
<formControlPr xmlns="http://schemas.microsoft.com/office/spreadsheetml/2009/9/main" objectType="Radio" checked="Checked" firstButton="1" fmlaLink="'HSC-AD data'!$C$51" lockText="1" noThreeD="1"/>
</file>

<file path=xl/ctrlProps/ctrlProp12.xml><?xml version="1.0" encoding="utf-8"?>
<formControlPr xmlns="http://schemas.microsoft.com/office/spreadsheetml/2009/9/main" objectType="Radio" lockText="1" noThreeD="1"/>
</file>

<file path=xl/ctrlProps/ctrlProp13.xml><?xml version="1.0" encoding="utf-8"?>
<formControlPr xmlns="http://schemas.microsoft.com/office/spreadsheetml/2009/9/main" objectType="Radio" lockText="1" noThreeD="1"/>
</file>

<file path=xl/ctrlProps/ctrlProp14.xml><?xml version="1.0" encoding="utf-8"?>
<formControlPr xmlns="http://schemas.microsoft.com/office/spreadsheetml/2009/9/main" objectType="GBox" noThreeD="1"/>
</file>

<file path=xl/ctrlProps/ctrlProp15.xml><?xml version="1.0" encoding="utf-8"?>
<formControlPr xmlns="http://schemas.microsoft.com/office/spreadsheetml/2009/9/main" objectType="Radio" checked="Checked" firstButton="1" fmlaLink="'Equations HSC-AD'!$C$3" lockText="1" noThreeD="1"/>
</file>

<file path=xl/ctrlProps/ctrlProp16.xml><?xml version="1.0" encoding="utf-8"?>
<formControlPr xmlns="http://schemas.microsoft.com/office/spreadsheetml/2009/9/main" objectType="Radio" lockText="1" noThreeD="1"/>
</file>

<file path=xl/ctrlProps/ctrlProp17.xml><?xml version="1.0" encoding="utf-8"?>
<formControlPr xmlns="http://schemas.microsoft.com/office/spreadsheetml/2009/9/main" objectType="CheckBox" fmlaLink="'Equations HSC-AD'!$C$25" lockText="1" noThreeD="1"/>
</file>

<file path=xl/ctrlProps/ctrlProp18.xml><?xml version="1.0" encoding="utf-8"?>
<formControlPr xmlns="http://schemas.microsoft.com/office/spreadsheetml/2009/9/main" objectType="GBox" noThreeD="1"/>
</file>

<file path=xl/ctrlProps/ctrlProp19.xml><?xml version="1.0" encoding="utf-8"?>
<formControlPr xmlns="http://schemas.microsoft.com/office/spreadsheetml/2009/9/main" objectType="Radio" firstButton="1" fmlaLink="'Equations HSC-AD'!$C$276"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Radio" lockText="1" noThreeD="1"/>
</file>

<file path=xl/ctrlProps/ctrlProp22.xml><?xml version="1.0" encoding="utf-8"?>
<formControlPr xmlns="http://schemas.microsoft.com/office/spreadsheetml/2009/9/main" objectType="Radio" lockText="1" noThreeD="1"/>
</file>

<file path=xl/ctrlProps/ctrlProp23.xml><?xml version="1.0" encoding="utf-8"?>
<formControlPr xmlns="http://schemas.microsoft.com/office/spreadsheetml/2009/9/main" objectType="Radio" lockText="1" noThreeD="1"/>
</file>

<file path=xl/ctrlProps/ctrlProp24.xml><?xml version="1.0" encoding="utf-8"?>
<formControlPr xmlns="http://schemas.microsoft.com/office/spreadsheetml/2009/9/main" objectType="Radio" checked="Checked" lockText="1" noThreeD="1"/>
</file>

<file path=xl/ctrlProps/ctrlProp25.xml><?xml version="1.0" encoding="utf-8"?>
<formControlPr xmlns="http://schemas.microsoft.com/office/spreadsheetml/2009/9/main" objectType="Radio"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Radio" firstButton="1" fmlaLink="'Equations HSC-AD'!$C$36" lockText="1" noThreeD="1"/>
</file>

<file path=xl/ctrlProps/ctrlProp31.xml><?xml version="1.0" encoding="utf-8"?>
<formControlPr xmlns="http://schemas.microsoft.com/office/spreadsheetml/2009/9/main" objectType="Radio" checked="Checked" lockText="1"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Radio" checked="Checked" firstButton="1" fmlaLink="'HSC-AD data'!$C$40"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lockText="1" noThreeD="1"/>
</file>

<file path=xl/ctrlProps/ctrlProp36.xml><?xml version="1.0" encoding="utf-8"?>
<formControlPr xmlns="http://schemas.microsoft.com/office/spreadsheetml/2009/9/main" objectType="Radio" lockText="1" noThreeD="1"/>
</file>

<file path=xl/ctrlProps/ctrlProp37.xml><?xml version="1.0" encoding="utf-8"?>
<formControlPr xmlns="http://schemas.microsoft.com/office/spreadsheetml/2009/9/main" objectType="Radio" lockText="1" noThreeD="1"/>
</file>

<file path=xl/ctrlProps/ctrlProp38.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 Id="rId5" Type="http://schemas.openxmlformats.org/officeDocument/2006/relationships/chart" Target="../charts/chart8.xml"/><Relationship Id="rId4" Type="http://schemas.openxmlformats.org/officeDocument/2006/relationships/chart" Target="../charts/chart7.xml"/></Relationships>
</file>

<file path=xl/drawings/_rels/drawing4.xml.rels><?xml version="1.0" encoding="UTF-8" standalone="yes"?>
<Relationships xmlns="http://schemas.openxmlformats.org/package/2006/relationships"><Relationship Id="rId2" Type="http://schemas.openxmlformats.org/officeDocument/2006/relationships/image" Target="../media/image6.png"/><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3" Type="http://schemas.openxmlformats.org/officeDocument/2006/relationships/chart" Target="../charts/chart11.xml"/><Relationship Id="rId2" Type="http://schemas.openxmlformats.org/officeDocument/2006/relationships/chart" Target="../charts/chart10.xml"/><Relationship Id="rId1" Type="http://schemas.openxmlformats.org/officeDocument/2006/relationships/chart" Target="../charts/chart9.xml"/><Relationship Id="rId5" Type="http://schemas.openxmlformats.org/officeDocument/2006/relationships/chart" Target="../charts/chart13.xml"/><Relationship Id="rId4" Type="http://schemas.openxmlformats.org/officeDocument/2006/relationships/chart" Target="../charts/chart12.xml"/></Relationships>
</file>

<file path=xl/drawings/_rels/drawing6.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1.png"/><Relationship Id="rId1" Type="http://schemas.openxmlformats.org/officeDocument/2006/relationships/image" Target="../media/image7.emf"/><Relationship Id="rId4" Type="http://schemas.openxmlformats.org/officeDocument/2006/relationships/image" Target="../media/image9.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0.emf"/></Relationships>
</file>

<file path=xl/drawings/drawing1.xml><?xml version="1.0" encoding="utf-8"?>
<xdr:wsDr xmlns:xdr="http://schemas.openxmlformats.org/drawingml/2006/spreadsheetDrawing" xmlns:a="http://schemas.openxmlformats.org/drawingml/2006/main">
  <xdr:twoCellAnchor editAs="oneCell">
    <xdr:from>
      <xdr:col>20</xdr:col>
      <xdr:colOff>303125</xdr:colOff>
      <xdr:row>1</xdr:row>
      <xdr:rowOff>16248</xdr:rowOff>
    </xdr:from>
    <xdr:to>
      <xdr:col>24</xdr:col>
      <xdr:colOff>507530</xdr:colOff>
      <xdr:row>3</xdr:row>
      <xdr:rowOff>30526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981275" y="197223"/>
          <a:ext cx="2861880" cy="547678"/>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8</xdr:col>
          <xdr:colOff>776288</xdr:colOff>
          <xdr:row>23</xdr:row>
          <xdr:rowOff>176213</xdr:rowOff>
        </xdr:from>
        <xdr:to>
          <xdr:col>10</xdr:col>
          <xdr:colOff>476250</xdr:colOff>
          <xdr:row>25</xdr:row>
          <xdr:rowOff>4763</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8</xdr:col>
          <xdr:colOff>742950</xdr:colOff>
          <xdr:row>11</xdr:row>
          <xdr:rowOff>78442</xdr:rowOff>
        </xdr:from>
        <xdr:to>
          <xdr:col>12</xdr:col>
          <xdr:colOff>133350</xdr:colOff>
          <xdr:row>17</xdr:row>
          <xdr:rowOff>57151</xdr:rowOff>
        </xdr:to>
        <xdr:grpSp>
          <xdr:nvGrpSpPr>
            <xdr:cNvPr id="5" name="diffuser distance">
              <a:extLst>
                <a:ext uri="{FF2B5EF4-FFF2-40B4-BE49-F238E27FC236}">
                  <a16:creationId xmlns:a16="http://schemas.microsoft.com/office/drawing/2014/main" id="{00000000-0008-0000-0000-000005000000}"/>
                </a:ext>
              </a:extLst>
            </xdr:cNvPr>
            <xdr:cNvGrpSpPr/>
          </xdr:nvGrpSpPr>
          <xdr:grpSpPr>
            <a:xfrm>
              <a:off x="7051862" y="2521324"/>
              <a:ext cx="3133164" cy="1088092"/>
              <a:chOff x="6629428" y="2335882"/>
              <a:chExt cx="2895604" cy="1207434"/>
            </a:xfrm>
          </xdr:grpSpPr>
          <xdr:sp macro="" textlink="">
            <xdr:nvSpPr>
              <xdr:cNvPr id="1032" name="Group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6629428" y="2335882"/>
                <a:ext cx="2895604" cy="1207434"/>
              </a:xfrm>
              <a:prstGeom prst="rect">
                <a:avLst/>
              </a:prstGeom>
              <a:noFill/>
              <a:ln w="9525">
                <a:miter lim="800000"/>
                <a:headEnd/>
                <a:tailEnd/>
              </a:ln>
              <a:extLst>
                <a:ext uri="{909E8E84-426E-40DD-AFC4-6F175D3DCCD1}">
                  <a14:hiddenFill>
                    <a:noFill/>
                  </a14:hiddenFill>
                </a:ext>
              </a:extLst>
            </xdr:spPr>
            <xdr:txBody>
              <a:bodyPr vertOverflow="clip" wrap="none" lIns="36576" tIns="50292" rIns="0" bIns="0" anchor="t" upright="1"/>
              <a:lstStyle/>
              <a:p>
                <a:pPr algn="l" rtl="0">
                  <a:defRPr sz="1000"/>
                </a:pPr>
                <a:r>
                  <a:rPr lang="en-AU" sz="800" b="0" i="0" u="none" strike="noStrike" baseline="0">
                    <a:solidFill>
                      <a:srgbClr val="000000"/>
                    </a:solidFill>
                    <a:latin typeface="Segoe UI"/>
                    <a:cs typeface="Segoe UI"/>
                  </a:rPr>
                  <a:t>Group Box 8</a:t>
                </a:r>
              </a:p>
            </xdr:txBody>
          </xdr:sp>
          <xdr:sp macro="" textlink="">
            <xdr:nvSpPr>
              <xdr:cNvPr id="1033" name="Option Button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6753225" y="2440597"/>
                <a:ext cx="1508613" cy="22127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34" name="Option Button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6756889" y="2836261"/>
                <a:ext cx="1556238"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35" name="Option Button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6764947" y="3259014"/>
                <a:ext cx="1354494"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twoCellAnchor editAs="oneCell">
    <xdr:from>
      <xdr:col>18</xdr:col>
      <xdr:colOff>264807</xdr:colOff>
      <xdr:row>14</xdr:row>
      <xdr:rowOff>42866</xdr:rowOff>
    </xdr:from>
    <xdr:to>
      <xdr:col>23</xdr:col>
      <xdr:colOff>284787</xdr:colOff>
      <xdr:row>26</xdr:row>
      <xdr:rowOff>46449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rot="1155642">
          <a:off x="14443450" y="3029635"/>
          <a:ext cx="3517016" cy="2207940"/>
        </a:xfrm>
        <a:prstGeom prst="rect">
          <a:avLst/>
        </a:prstGeom>
      </xdr:spPr>
    </xdr:pic>
    <xdr:clientData/>
  </xdr:twoCellAnchor>
  <mc:AlternateContent xmlns:mc="http://schemas.openxmlformats.org/markup-compatibility/2006">
    <mc:Choice xmlns:a14="http://schemas.microsoft.com/office/drawing/2010/main" Requires="a14">
      <xdr:twoCellAnchor>
        <xdr:from>
          <xdr:col>4</xdr:col>
          <xdr:colOff>876300</xdr:colOff>
          <xdr:row>65</xdr:row>
          <xdr:rowOff>9525</xdr:rowOff>
        </xdr:from>
        <xdr:to>
          <xdr:col>11</xdr:col>
          <xdr:colOff>66675</xdr:colOff>
          <xdr:row>66</xdr:row>
          <xdr:rowOff>0</xdr:rowOff>
        </xdr:to>
        <xdr:grpSp>
          <xdr:nvGrpSpPr>
            <xdr:cNvPr id="9" name="colour">
              <a:extLst>
                <a:ext uri="{FF2B5EF4-FFF2-40B4-BE49-F238E27FC236}">
                  <a16:creationId xmlns:a16="http://schemas.microsoft.com/office/drawing/2014/main" id="{00000000-0008-0000-0000-000009000000}"/>
                </a:ext>
              </a:extLst>
            </xdr:cNvPr>
            <xdr:cNvGrpSpPr/>
          </xdr:nvGrpSpPr>
          <xdr:grpSpPr>
            <a:xfrm>
              <a:off x="3302374" y="14442701"/>
              <a:ext cx="5880287" cy="304240"/>
              <a:chOff x="3192066" y="16257422"/>
              <a:chExt cx="5381625" cy="294083"/>
            </a:xfrm>
          </xdr:grpSpPr>
          <xdr:sp macro="" textlink="">
            <xdr:nvSpPr>
              <xdr:cNvPr id="1069" name="Group Box 45"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3192066" y="16257422"/>
                <a:ext cx="5381625" cy="294083"/>
              </a:xfrm>
              <a:prstGeom prst="rect">
                <a:avLst/>
              </a:prstGeom>
              <a:noFill/>
              <a:ln w="9525">
                <a:miter lim="800000"/>
                <a:headEnd/>
                <a:tailEnd/>
              </a:ln>
              <a:extLst>
                <a:ext uri="{909E8E84-426E-40DD-AFC4-6F175D3DCCD1}">
                  <a14:hiddenFill>
                    <a:noFill/>
                  </a14:hiddenFill>
                </a:ext>
              </a:extLst>
            </xdr:spPr>
            <xdr:txBody>
              <a:bodyPr vertOverflow="clip" wrap="none" lIns="36576" tIns="50292" rIns="0" bIns="0" anchor="t" upright="1"/>
              <a:lstStyle/>
              <a:p>
                <a:pPr algn="l" rtl="0">
                  <a:defRPr sz="1000"/>
                </a:pPr>
                <a:r>
                  <a:rPr lang="en-AU" sz="800" b="0" i="0" u="none" strike="noStrike" baseline="0">
                    <a:solidFill>
                      <a:srgbClr val="000000"/>
                    </a:solidFill>
                    <a:latin typeface="Segoe UI"/>
                    <a:cs typeface="Segoe UI"/>
                  </a:rPr>
                  <a:t>Group Box 45</a:t>
                </a:r>
              </a:p>
            </xdr:txBody>
          </xdr:sp>
          <xdr:sp macro="" textlink="">
            <xdr:nvSpPr>
              <xdr:cNvPr id="1071" name="Option Button 47" hidden="1">
                <a:extLst>
                  <a:ext uri="{63B3BB69-23CF-44E3-9099-C40C66FF867C}">
                    <a14:compatExt spid="_x0000_s1071"/>
                  </a:ext>
                  <a:ext uri="{FF2B5EF4-FFF2-40B4-BE49-F238E27FC236}">
                    <a16:creationId xmlns:a16="http://schemas.microsoft.com/office/drawing/2014/main" id="{00000000-0008-0000-0000-00002F040000}"/>
                  </a:ext>
                </a:extLst>
              </xdr:cNvPr>
              <xdr:cNvSpPr/>
            </xdr:nvSpPr>
            <xdr:spPr bwMode="auto">
              <a:xfrm>
                <a:off x="3433221" y="16280057"/>
                <a:ext cx="897359" cy="22200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72" name="Option Button 48" hidden="1">
                <a:extLst>
                  <a:ext uri="{63B3BB69-23CF-44E3-9099-C40C66FF867C}">
                    <a14:compatExt spid="_x0000_s1072"/>
                  </a:ext>
                  <a:ext uri="{FF2B5EF4-FFF2-40B4-BE49-F238E27FC236}">
                    <a16:creationId xmlns:a16="http://schemas.microsoft.com/office/drawing/2014/main" id="{00000000-0008-0000-0000-000030040000}"/>
                  </a:ext>
                </a:extLst>
              </xdr:cNvPr>
              <xdr:cNvSpPr/>
            </xdr:nvSpPr>
            <xdr:spPr bwMode="auto">
              <a:xfrm>
                <a:off x="5113552" y="16287109"/>
                <a:ext cx="764630" cy="22200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73" name="Option Button 49" hidden="1">
                <a:extLst>
                  <a:ext uri="{63B3BB69-23CF-44E3-9099-C40C66FF867C}">
                    <a14:compatExt spid="_x0000_s1073"/>
                  </a:ext>
                  <a:ext uri="{FF2B5EF4-FFF2-40B4-BE49-F238E27FC236}">
                    <a16:creationId xmlns:a16="http://schemas.microsoft.com/office/drawing/2014/main" id="{00000000-0008-0000-0000-000031040000}"/>
                  </a:ext>
                </a:extLst>
              </xdr:cNvPr>
              <xdr:cNvSpPr/>
            </xdr:nvSpPr>
            <xdr:spPr bwMode="auto">
              <a:xfrm>
                <a:off x="6849117" y="16287109"/>
                <a:ext cx="471854" cy="222006"/>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5</xdr:col>
          <xdr:colOff>628650</xdr:colOff>
          <xdr:row>7</xdr:row>
          <xdr:rowOff>152400</xdr:rowOff>
        </xdr:from>
        <xdr:to>
          <xdr:col>7</xdr:col>
          <xdr:colOff>571500</xdr:colOff>
          <xdr:row>9</xdr:row>
          <xdr:rowOff>57150</xdr:rowOff>
        </xdr:to>
        <xdr:grpSp>
          <xdr:nvGrpSpPr>
            <xdr:cNvPr id="10" name="Group 9">
              <a:extLst>
                <a:ext uri="{FF2B5EF4-FFF2-40B4-BE49-F238E27FC236}">
                  <a16:creationId xmlns:a16="http://schemas.microsoft.com/office/drawing/2014/main" id="{00000000-0008-0000-0000-00000A000000}"/>
                </a:ext>
              </a:extLst>
            </xdr:cNvPr>
            <xdr:cNvGrpSpPr/>
          </xdr:nvGrpSpPr>
          <xdr:grpSpPr>
            <a:xfrm>
              <a:off x="4130489" y="1833282"/>
              <a:ext cx="1814232" cy="296956"/>
              <a:chOff x="3886215" y="1609843"/>
              <a:chExt cx="1695450" cy="304797"/>
            </a:xfrm>
          </xdr:grpSpPr>
          <xdr:sp macro="" textlink="">
            <xdr:nvSpPr>
              <xdr:cNvPr id="1076" name="Group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3886215" y="1609843"/>
                <a:ext cx="1695450" cy="304797"/>
              </a:xfrm>
              <a:prstGeom prst="rect">
                <a:avLst/>
              </a:prstGeom>
              <a:noFill/>
              <a:ln w="9525">
                <a:miter lim="800000"/>
                <a:headEnd/>
                <a:tailEnd/>
              </a:ln>
              <a:extLst>
                <a:ext uri="{909E8E84-426E-40DD-AFC4-6F175D3DCCD1}">
                  <a14:hiddenFill>
                    <a:noFill/>
                  </a14:hiddenFill>
                </a:ext>
              </a:extLst>
            </xdr:spPr>
            <xdr:txBody>
              <a:bodyPr vertOverflow="clip" wrap="none" lIns="36576" tIns="50292" rIns="0" bIns="0" anchor="t" upright="1"/>
              <a:lstStyle/>
              <a:p>
                <a:pPr algn="l" rtl="0">
                  <a:defRPr sz="1000"/>
                </a:pPr>
                <a:r>
                  <a:rPr lang="en-AU" sz="800" b="0" i="0" u="none" strike="noStrike" baseline="0">
                    <a:solidFill>
                      <a:srgbClr val="000000"/>
                    </a:solidFill>
                    <a:latin typeface="Segoe UI"/>
                    <a:cs typeface="Segoe UI"/>
                  </a:rPr>
                  <a:t>Group Box 52</a:t>
                </a:r>
              </a:p>
            </xdr:txBody>
          </xdr:sp>
          <xdr:sp macro="" textlink="">
            <xdr:nvSpPr>
              <xdr:cNvPr id="1077" name="Option Button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3962400" y="1663150"/>
                <a:ext cx="304800" cy="219075"/>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78" name="Option Button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4806198" y="1629685"/>
                <a:ext cx="302647" cy="215084"/>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876300</xdr:colOff>
          <xdr:row>19</xdr:row>
          <xdr:rowOff>171450</xdr:rowOff>
        </xdr:from>
        <xdr:to>
          <xdr:col>10</xdr:col>
          <xdr:colOff>681038</xdr:colOff>
          <xdr:row>21</xdr:row>
          <xdr:rowOff>4763</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966788</xdr:colOff>
          <xdr:row>60</xdr:row>
          <xdr:rowOff>147638</xdr:rowOff>
        </xdr:from>
        <xdr:to>
          <xdr:col>16</xdr:col>
          <xdr:colOff>76200</xdr:colOff>
          <xdr:row>62</xdr:row>
          <xdr:rowOff>0</xdr:rowOff>
        </xdr:to>
        <xdr:sp macro="" textlink="">
          <xdr:nvSpPr>
            <xdr:cNvPr id="1133" name="Group Box 109" hidden="1">
              <a:extLst>
                <a:ext uri="{63B3BB69-23CF-44E3-9099-C40C66FF867C}">
                  <a14:compatExt spid="_x0000_s1133"/>
                </a:ext>
                <a:ext uri="{FF2B5EF4-FFF2-40B4-BE49-F238E27FC236}">
                  <a16:creationId xmlns:a16="http://schemas.microsoft.com/office/drawing/2014/main" id="{00000000-0008-0000-0000-00006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50292" rIns="0" bIns="0" anchor="t" upright="1"/>
            <a:lstStyle/>
            <a:p>
              <a:pPr algn="l" rtl="0">
                <a:defRPr sz="1000"/>
              </a:pPr>
              <a:r>
                <a:rPr lang="en-AU" sz="800" b="0" i="0" u="none" strike="noStrike" baseline="0">
                  <a:solidFill>
                    <a:srgbClr val="000000"/>
                  </a:solidFill>
                  <a:latin typeface="Segoe UI"/>
                  <a:cs typeface="Segoe UI"/>
                </a:rPr>
                <a:t>Group Box 109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300038</xdr:colOff>
          <xdr:row>61</xdr:row>
          <xdr:rowOff>14288</xdr:rowOff>
        </xdr:from>
        <xdr:to>
          <xdr:col>5</xdr:col>
          <xdr:colOff>604838</xdr:colOff>
          <xdr:row>62</xdr:row>
          <xdr:rowOff>0</xdr:rowOff>
        </xdr:to>
        <xdr:sp macro="" textlink="">
          <xdr:nvSpPr>
            <xdr:cNvPr id="1135" name="Option Button 111" hidden="1">
              <a:extLst>
                <a:ext uri="{63B3BB69-23CF-44E3-9099-C40C66FF867C}">
                  <a14:compatExt spid="_x0000_s1135"/>
                </a:ext>
                <a:ext uri="{FF2B5EF4-FFF2-40B4-BE49-F238E27FC236}">
                  <a16:creationId xmlns:a16="http://schemas.microsoft.com/office/drawing/2014/main" id="{00000000-0008-0000-0000-00006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285750</xdr:colOff>
          <xdr:row>61</xdr:row>
          <xdr:rowOff>19050</xdr:rowOff>
        </xdr:from>
        <xdr:to>
          <xdr:col>6</xdr:col>
          <xdr:colOff>590550</xdr:colOff>
          <xdr:row>62</xdr:row>
          <xdr:rowOff>0</xdr:rowOff>
        </xdr:to>
        <xdr:sp macro="" textlink="">
          <xdr:nvSpPr>
            <xdr:cNvPr id="1136" name="Option Button 112" hidden="1">
              <a:extLst>
                <a:ext uri="{63B3BB69-23CF-44E3-9099-C40C66FF867C}">
                  <a14:compatExt spid="_x0000_s1136"/>
                </a:ext>
                <a:ext uri="{FF2B5EF4-FFF2-40B4-BE49-F238E27FC236}">
                  <a16:creationId xmlns:a16="http://schemas.microsoft.com/office/drawing/2014/main" id="{00000000-0008-0000-0000-00007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61</xdr:row>
          <xdr:rowOff>19050</xdr:rowOff>
        </xdr:from>
        <xdr:to>
          <xdr:col>7</xdr:col>
          <xdr:colOff>628650</xdr:colOff>
          <xdr:row>62</xdr:row>
          <xdr:rowOff>0</xdr:rowOff>
        </xdr:to>
        <xdr:sp macro="" textlink="">
          <xdr:nvSpPr>
            <xdr:cNvPr id="1137" name="Option Button 113" hidden="1">
              <a:extLst>
                <a:ext uri="{63B3BB69-23CF-44E3-9099-C40C66FF867C}">
                  <a14:compatExt spid="_x0000_s1137"/>
                </a:ext>
                <a:ext uri="{FF2B5EF4-FFF2-40B4-BE49-F238E27FC236}">
                  <a16:creationId xmlns:a16="http://schemas.microsoft.com/office/drawing/2014/main" id="{00000000-0008-0000-0000-00007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300038</xdr:colOff>
          <xdr:row>61</xdr:row>
          <xdr:rowOff>14288</xdr:rowOff>
        </xdr:from>
        <xdr:to>
          <xdr:col>8</xdr:col>
          <xdr:colOff>604838</xdr:colOff>
          <xdr:row>62</xdr:row>
          <xdr:rowOff>0</xdr:rowOff>
        </xdr:to>
        <xdr:sp macro="" textlink="">
          <xdr:nvSpPr>
            <xdr:cNvPr id="1138" name="Option Button 114" hidden="1">
              <a:extLst>
                <a:ext uri="{63B3BB69-23CF-44E3-9099-C40C66FF867C}">
                  <a14:compatExt spid="_x0000_s1138"/>
                </a:ext>
                <a:ext uri="{FF2B5EF4-FFF2-40B4-BE49-F238E27FC236}">
                  <a16:creationId xmlns:a16="http://schemas.microsoft.com/office/drawing/2014/main" id="{00000000-0008-0000-0000-00007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342900</xdr:colOff>
          <xdr:row>61</xdr:row>
          <xdr:rowOff>19050</xdr:rowOff>
        </xdr:from>
        <xdr:to>
          <xdr:col>9</xdr:col>
          <xdr:colOff>647700</xdr:colOff>
          <xdr:row>62</xdr:row>
          <xdr:rowOff>0</xdr:rowOff>
        </xdr:to>
        <xdr:sp macro="" textlink="">
          <xdr:nvSpPr>
            <xdr:cNvPr id="1139" name="Option Button 115" hidden="1">
              <a:extLst>
                <a:ext uri="{63B3BB69-23CF-44E3-9099-C40C66FF867C}">
                  <a14:compatExt spid="_x0000_s1139"/>
                </a:ext>
                <a:ext uri="{FF2B5EF4-FFF2-40B4-BE49-F238E27FC236}">
                  <a16:creationId xmlns:a16="http://schemas.microsoft.com/office/drawing/2014/main" id="{00000000-0008-0000-0000-00007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342900</xdr:colOff>
          <xdr:row>61</xdr:row>
          <xdr:rowOff>19050</xdr:rowOff>
        </xdr:from>
        <xdr:to>
          <xdr:col>10</xdr:col>
          <xdr:colOff>647700</xdr:colOff>
          <xdr:row>62</xdr:row>
          <xdr:rowOff>0</xdr:rowOff>
        </xdr:to>
        <xdr:sp macro="" textlink="">
          <xdr:nvSpPr>
            <xdr:cNvPr id="1140" name="Option Button 116" hidden="1">
              <a:extLst>
                <a:ext uri="{63B3BB69-23CF-44E3-9099-C40C66FF867C}">
                  <a14:compatExt spid="_x0000_s1140"/>
                </a:ext>
                <a:ext uri="{FF2B5EF4-FFF2-40B4-BE49-F238E27FC236}">
                  <a16:creationId xmlns:a16="http://schemas.microsoft.com/office/drawing/2014/main" id="{00000000-0008-0000-0000-00007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323850</xdr:colOff>
          <xdr:row>61</xdr:row>
          <xdr:rowOff>19050</xdr:rowOff>
        </xdr:from>
        <xdr:to>
          <xdr:col>11</xdr:col>
          <xdr:colOff>628650</xdr:colOff>
          <xdr:row>62</xdr:row>
          <xdr:rowOff>0</xdr:rowOff>
        </xdr:to>
        <xdr:sp macro="" textlink="">
          <xdr:nvSpPr>
            <xdr:cNvPr id="1141" name="Option Button 117" hidden="1">
              <a:extLst>
                <a:ext uri="{63B3BB69-23CF-44E3-9099-C40C66FF867C}">
                  <a14:compatExt spid="_x0000_s1141"/>
                </a:ext>
                <a:ext uri="{FF2B5EF4-FFF2-40B4-BE49-F238E27FC236}">
                  <a16:creationId xmlns:a16="http://schemas.microsoft.com/office/drawing/2014/main" id="{00000000-0008-0000-0000-00007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338138</xdr:colOff>
          <xdr:row>61</xdr:row>
          <xdr:rowOff>14288</xdr:rowOff>
        </xdr:from>
        <xdr:to>
          <xdr:col>12</xdr:col>
          <xdr:colOff>642938</xdr:colOff>
          <xdr:row>62</xdr:row>
          <xdr:rowOff>0</xdr:rowOff>
        </xdr:to>
        <xdr:sp macro="" textlink="">
          <xdr:nvSpPr>
            <xdr:cNvPr id="1143" name="Option Button 119" hidden="1">
              <a:extLst>
                <a:ext uri="{63B3BB69-23CF-44E3-9099-C40C66FF867C}">
                  <a14:compatExt spid="_x0000_s1143"/>
                </a:ext>
                <a:ext uri="{FF2B5EF4-FFF2-40B4-BE49-F238E27FC236}">
                  <a16:creationId xmlns:a16="http://schemas.microsoft.com/office/drawing/2014/main" id="{00000000-0008-0000-0000-00007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323850</xdr:colOff>
          <xdr:row>61</xdr:row>
          <xdr:rowOff>14288</xdr:rowOff>
        </xdr:from>
        <xdr:to>
          <xdr:col>13</xdr:col>
          <xdr:colOff>628650</xdr:colOff>
          <xdr:row>62</xdr:row>
          <xdr:rowOff>0</xdr:rowOff>
        </xdr:to>
        <xdr:sp macro="" textlink="">
          <xdr:nvSpPr>
            <xdr:cNvPr id="1145" name="Option Button 121" hidden="1">
              <a:extLst>
                <a:ext uri="{63B3BB69-23CF-44E3-9099-C40C66FF867C}">
                  <a14:compatExt spid="_x0000_s1145"/>
                </a:ext>
                <a:ext uri="{FF2B5EF4-FFF2-40B4-BE49-F238E27FC236}">
                  <a16:creationId xmlns:a16="http://schemas.microsoft.com/office/drawing/2014/main" id="{00000000-0008-0000-0000-00007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300038</xdr:colOff>
          <xdr:row>61</xdr:row>
          <xdr:rowOff>14288</xdr:rowOff>
        </xdr:from>
        <xdr:to>
          <xdr:col>14</xdr:col>
          <xdr:colOff>604838</xdr:colOff>
          <xdr:row>62</xdr:row>
          <xdr:rowOff>0</xdr:rowOff>
        </xdr:to>
        <xdr:sp macro="" textlink="">
          <xdr:nvSpPr>
            <xdr:cNvPr id="1146" name="Option Button 122" hidden="1">
              <a:extLst>
                <a:ext uri="{63B3BB69-23CF-44E3-9099-C40C66FF867C}">
                  <a14:compatExt spid="_x0000_s1146"/>
                </a:ext>
                <a:ext uri="{FF2B5EF4-FFF2-40B4-BE49-F238E27FC236}">
                  <a16:creationId xmlns:a16="http://schemas.microsoft.com/office/drawing/2014/main" id="{00000000-0008-0000-0000-00007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14</xdr:col>
      <xdr:colOff>870858</xdr:colOff>
      <xdr:row>59</xdr:row>
      <xdr:rowOff>176894</xdr:rowOff>
    </xdr:from>
    <xdr:to>
      <xdr:col>24</xdr:col>
      <xdr:colOff>603322</xdr:colOff>
      <xdr:row>72</xdr:row>
      <xdr:rowOff>72170</xdr:rowOff>
    </xdr:to>
    <xdr:grpSp>
      <xdr:nvGrpSpPr>
        <xdr:cNvPr id="7" name="Group 6">
          <a:extLst>
            <a:ext uri="{FF2B5EF4-FFF2-40B4-BE49-F238E27FC236}">
              <a16:creationId xmlns:a16="http://schemas.microsoft.com/office/drawing/2014/main" id="{00000000-0008-0000-0000-000007000000}"/>
            </a:ext>
          </a:extLst>
        </xdr:cNvPr>
        <xdr:cNvGrpSpPr/>
      </xdr:nvGrpSpPr>
      <xdr:grpSpPr>
        <a:xfrm>
          <a:off x="12793917" y="13142100"/>
          <a:ext cx="6175846" cy="3531585"/>
          <a:chOff x="11972925" y="12153900"/>
          <a:chExt cx="5817577" cy="3544033"/>
        </a:xfrm>
      </xdr:grpSpPr>
      <mc:AlternateContent xmlns:mc="http://schemas.openxmlformats.org/markup-compatibility/2006" xmlns:a14="http://schemas.microsoft.com/office/drawing/2010/main">
        <mc:Choice Requires="a14">
          <xdr:pic>
            <xdr:nvPicPr>
              <xdr:cNvPr id="4" name="Picture 3">
                <a:extLst>
                  <a:ext uri="{FF2B5EF4-FFF2-40B4-BE49-F238E27FC236}">
                    <a16:creationId xmlns:a16="http://schemas.microsoft.com/office/drawing/2014/main" id="{00000000-0008-0000-0000-000004000000}"/>
                  </a:ext>
                </a:extLst>
              </xdr:cNvPr>
              <xdr:cNvPicPr>
                <a:picLocks noChangeAspect="1"/>
                <a:extLst>
                  <a:ext uri="{84589F7E-364E-4C9E-8A38-B11213B215E9}">
                    <a14:cameraTool cellRange="getFrontChart" spid="_x0000_s1730"/>
                  </a:ext>
                </a:extLst>
              </xdr:cNvPicPr>
            </xdr:nvPicPr>
            <xdr:blipFill>
              <a:blip xmlns:r="http://schemas.openxmlformats.org/officeDocument/2006/relationships" r:embed="rId3"/>
              <a:stretch>
                <a:fillRect/>
              </a:stretch>
            </xdr:blipFill>
            <xdr:spPr>
              <a:xfrm>
                <a:off x="11972925" y="12153900"/>
                <a:ext cx="5817577" cy="3544033"/>
              </a:xfrm>
              <a:prstGeom prst="rect">
                <a:avLst/>
              </a:prstGeom>
            </xdr:spPr>
          </xdr:pic>
        </mc:Choice>
        <mc:Fallback xmlns=""/>
      </mc:AlternateContent>
      <xdr:sp macro="" textlink="">
        <xdr:nvSpPr>
          <xdr:cNvPr id="6" name="TextBox 5">
            <a:extLst>
              <a:ext uri="{FF2B5EF4-FFF2-40B4-BE49-F238E27FC236}">
                <a16:creationId xmlns:a16="http://schemas.microsoft.com/office/drawing/2014/main" id="{00000000-0008-0000-0000-000006000000}"/>
              </a:ext>
            </a:extLst>
          </xdr:cNvPr>
          <xdr:cNvSpPr txBox="1"/>
        </xdr:nvSpPr>
        <xdr:spPr>
          <a:xfrm>
            <a:off x="16140482" y="12343274"/>
            <a:ext cx="1162050"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900">
                <a:solidFill>
                  <a:schemeClr val="tx1">
                    <a:lumMod val="65000"/>
                    <a:lumOff val="35000"/>
                  </a:schemeClr>
                </a:solidFill>
              </a:rPr>
              <a:t>Horizontal Discharge</a:t>
            </a:r>
          </a:p>
        </xdr:txBody>
      </xdr:sp>
      <xdr:sp macro="" textlink="">
        <xdr:nvSpPr>
          <xdr:cNvPr id="40" name="TextBox 39">
            <a:extLst>
              <a:ext uri="{FF2B5EF4-FFF2-40B4-BE49-F238E27FC236}">
                <a16:creationId xmlns:a16="http://schemas.microsoft.com/office/drawing/2014/main" id="{00000000-0008-0000-0000-000028000000}"/>
              </a:ext>
            </a:extLst>
          </xdr:cNvPr>
          <xdr:cNvSpPr txBox="1"/>
        </xdr:nvSpPr>
        <xdr:spPr>
          <a:xfrm>
            <a:off x="16306800" y="15039974"/>
            <a:ext cx="10382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900">
                <a:solidFill>
                  <a:schemeClr val="tx1">
                    <a:lumMod val="65000"/>
                    <a:lumOff val="35000"/>
                  </a:schemeClr>
                </a:solidFill>
              </a:rPr>
              <a:t>Vertical Discharge</a:t>
            </a:r>
          </a:p>
          <a:p>
            <a:endParaRPr lang="en-AU" sz="900">
              <a:solidFill>
                <a:schemeClr val="tx1">
                  <a:lumMod val="65000"/>
                  <a:lumOff val="35000"/>
                </a:schemeClr>
              </a:solidFill>
            </a:endParaRPr>
          </a:p>
        </xdr:txBody>
      </xdr:sp>
    </xdr:grpSp>
    <xdr:clientData/>
  </xdr:twoCellAnchor>
  <mc:AlternateContent xmlns:mc="http://schemas.openxmlformats.org/markup-compatibility/2006">
    <mc:Choice xmlns:a14="http://schemas.microsoft.com/office/drawing/2010/main" Requires="a14">
      <xdr:twoCellAnchor>
        <xdr:from>
          <xdr:col>8</xdr:col>
          <xdr:colOff>757238</xdr:colOff>
          <xdr:row>17</xdr:row>
          <xdr:rowOff>104775</xdr:rowOff>
        </xdr:from>
        <xdr:to>
          <xdr:col>16</xdr:col>
          <xdr:colOff>176212</xdr:colOff>
          <xdr:row>19</xdr:row>
          <xdr:rowOff>119063</xdr:rowOff>
        </xdr:to>
        <xdr:grpSp>
          <xdr:nvGrpSpPr>
            <xdr:cNvPr id="8" name="diffuser location">
              <a:extLst>
                <a:ext uri="{FF2B5EF4-FFF2-40B4-BE49-F238E27FC236}">
                  <a16:creationId xmlns:a16="http://schemas.microsoft.com/office/drawing/2014/main" id="{00000000-0008-0000-0000-000008000000}"/>
                </a:ext>
              </a:extLst>
            </xdr:cNvPr>
            <xdr:cNvGrpSpPr/>
          </xdr:nvGrpSpPr>
          <xdr:grpSpPr>
            <a:xfrm>
              <a:off x="7066150" y="3657040"/>
              <a:ext cx="5907180" cy="378479"/>
              <a:chOff x="7058018" y="3662356"/>
              <a:chExt cx="6772272" cy="381002"/>
            </a:xfrm>
          </xdr:grpSpPr>
          <xdr:sp macro="" textlink="">
            <xdr:nvSpPr>
              <xdr:cNvPr id="1371" name="Group Box 347" hidden="1">
                <a:extLst>
                  <a:ext uri="{63B3BB69-23CF-44E3-9099-C40C66FF867C}">
                    <a14:compatExt spid="_x0000_s1371"/>
                  </a:ext>
                  <a:ext uri="{FF2B5EF4-FFF2-40B4-BE49-F238E27FC236}">
                    <a16:creationId xmlns:a16="http://schemas.microsoft.com/office/drawing/2014/main" id="{00000000-0008-0000-0000-00005B050000}"/>
                  </a:ext>
                </a:extLst>
              </xdr:cNvPr>
              <xdr:cNvSpPr/>
            </xdr:nvSpPr>
            <xdr:spPr bwMode="auto">
              <a:xfrm>
                <a:off x="7058018" y="3662356"/>
                <a:ext cx="6772272" cy="381002"/>
              </a:xfrm>
              <a:prstGeom prst="rect">
                <a:avLst/>
              </a:prstGeom>
              <a:noFill/>
              <a:ln w="9525">
                <a:miter lim="800000"/>
                <a:headEnd/>
                <a:tailEnd/>
              </a:ln>
              <a:extLst>
                <a:ext uri="{909E8E84-426E-40DD-AFC4-6F175D3DCCD1}">
                  <a14:hiddenFill>
                    <a:noFill/>
                  </a14:hiddenFill>
                </a:ext>
              </a:extLst>
            </xdr:spPr>
            <xdr:txBody>
              <a:bodyPr vertOverflow="clip" wrap="none" lIns="36576" tIns="50292" rIns="0" bIns="0" anchor="t" upright="1"/>
              <a:lstStyle/>
              <a:p>
                <a:pPr algn="l" rtl="0">
                  <a:defRPr sz="1000"/>
                </a:pPr>
                <a:r>
                  <a:rPr lang="en-AU" sz="800" b="0" i="0" u="none" strike="noStrike" baseline="0">
                    <a:solidFill>
                      <a:srgbClr val="000000"/>
                    </a:solidFill>
                    <a:latin typeface="Segoe UI"/>
                    <a:cs typeface="Segoe UI"/>
                  </a:rPr>
                  <a:t>Group Box 347</a:t>
                </a:r>
              </a:p>
            </xdr:txBody>
          </xdr:sp>
          <xdr:sp macro="" textlink="">
            <xdr:nvSpPr>
              <xdr:cNvPr id="1372" name="Option Button 348" hidden="1">
                <a:extLst>
                  <a:ext uri="{63B3BB69-23CF-44E3-9099-C40C66FF867C}">
                    <a14:compatExt spid="_x0000_s1372"/>
                  </a:ext>
                  <a:ext uri="{FF2B5EF4-FFF2-40B4-BE49-F238E27FC236}">
                    <a16:creationId xmlns:a16="http://schemas.microsoft.com/office/drawing/2014/main" id="{00000000-0008-0000-0000-00005C050000}"/>
                  </a:ext>
                </a:extLst>
              </xdr:cNvPr>
              <xdr:cNvSpPr/>
            </xdr:nvSpPr>
            <xdr:spPr bwMode="auto">
              <a:xfrm>
                <a:off x="9608191" y="3701709"/>
                <a:ext cx="704852"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373" name="Option Button 349" hidden="1">
                <a:extLst>
                  <a:ext uri="{63B3BB69-23CF-44E3-9099-C40C66FF867C}">
                    <a14:compatExt spid="_x0000_s1373"/>
                  </a:ext>
                  <a:ext uri="{FF2B5EF4-FFF2-40B4-BE49-F238E27FC236}">
                    <a16:creationId xmlns:a16="http://schemas.microsoft.com/office/drawing/2014/main" id="{00000000-0008-0000-0000-00005D050000}"/>
                  </a:ext>
                </a:extLst>
              </xdr:cNvPr>
              <xdr:cNvSpPr/>
            </xdr:nvSpPr>
            <xdr:spPr bwMode="auto">
              <a:xfrm>
                <a:off x="11237061" y="3714751"/>
                <a:ext cx="1162051"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928688</xdr:colOff>
          <xdr:row>63</xdr:row>
          <xdr:rowOff>0</xdr:rowOff>
        </xdr:from>
        <xdr:to>
          <xdr:col>13</xdr:col>
          <xdr:colOff>781050</xdr:colOff>
          <xdr:row>64</xdr:row>
          <xdr:rowOff>14288</xdr:rowOff>
        </xdr:to>
        <xdr:grpSp>
          <xdr:nvGrpSpPr>
            <xdr:cNvPr id="11" name="Face Size">
              <a:extLst>
                <a:ext uri="{FF2B5EF4-FFF2-40B4-BE49-F238E27FC236}">
                  <a16:creationId xmlns:a16="http://schemas.microsoft.com/office/drawing/2014/main" id="{00000000-0008-0000-0000-00000B000000}"/>
                </a:ext>
              </a:extLst>
            </xdr:cNvPr>
            <xdr:cNvGrpSpPr/>
          </xdr:nvGrpSpPr>
          <xdr:grpSpPr>
            <a:xfrm>
              <a:off x="3354762" y="13800045"/>
              <a:ext cx="8413656" cy="333655"/>
              <a:chOff x="3351352" y="13504746"/>
              <a:chExt cx="8383450" cy="333168"/>
            </a:xfrm>
          </xdr:grpSpPr>
          <xdr:sp macro="" textlink="">
            <xdr:nvSpPr>
              <xdr:cNvPr id="1631" name="Group Box 607" hidden="1">
                <a:extLst>
                  <a:ext uri="{63B3BB69-23CF-44E3-9099-C40C66FF867C}">
                    <a14:compatExt spid="_x0000_s1631"/>
                  </a:ext>
                  <a:ext uri="{FF2B5EF4-FFF2-40B4-BE49-F238E27FC236}">
                    <a16:creationId xmlns:a16="http://schemas.microsoft.com/office/drawing/2014/main" id="{00000000-0008-0000-0000-00005F060000}"/>
                  </a:ext>
                </a:extLst>
              </xdr:cNvPr>
              <xdr:cNvSpPr/>
            </xdr:nvSpPr>
            <xdr:spPr bwMode="auto">
              <a:xfrm>
                <a:off x="3351352" y="13504746"/>
                <a:ext cx="8383450" cy="333168"/>
              </a:xfrm>
              <a:prstGeom prst="rect">
                <a:avLst/>
              </a:prstGeom>
              <a:noFill/>
              <a:ln w="9525">
                <a:miter lim="800000"/>
                <a:headEnd/>
                <a:tailEnd/>
              </a:ln>
              <a:extLst>
                <a:ext uri="{909E8E84-426E-40DD-AFC4-6F175D3DCCD1}">
                  <a14:hiddenFill>
                    <a:noFill/>
                  </a14:hiddenFill>
                </a:ext>
              </a:extLst>
            </xdr:spPr>
            <xdr:txBody>
              <a:bodyPr vertOverflow="clip" wrap="none" lIns="36576" tIns="50292" rIns="0" bIns="0" anchor="t" upright="1"/>
              <a:lstStyle/>
              <a:p>
                <a:pPr algn="l" rtl="0">
                  <a:defRPr sz="1000"/>
                </a:pPr>
                <a:r>
                  <a:rPr lang="en-AU" sz="800" b="0" i="0" u="none" strike="noStrike" baseline="0">
                    <a:solidFill>
                      <a:srgbClr val="000000"/>
                    </a:solidFill>
                    <a:latin typeface="Segoe UI"/>
                    <a:cs typeface="Segoe UI"/>
                  </a:rPr>
                  <a:t>Group Box 607</a:t>
                </a:r>
              </a:p>
            </xdr:txBody>
          </xdr:sp>
          <xdr:sp macro="" textlink="">
            <xdr:nvSpPr>
              <xdr:cNvPr id="1633" name="Option Button 609" hidden="1">
                <a:extLst>
                  <a:ext uri="{63B3BB69-23CF-44E3-9099-C40C66FF867C}">
                    <a14:compatExt spid="_x0000_s1633"/>
                  </a:ext>
                  <a:ext uri="{FF2B5EF4-FFF2-40B4-BE49-F238E27FC236}">
                    <a16:creationId xmlns:a16="http://schemas.microsoft.com/office/drawing/2014/main" id="{00000000-0008-0000-0000-000061060000}"/>
                  </a:ext>
                </a:extLst>
              </xdr:cNvPr>
              <xdr:cNvSpPr/>
            </xdr:nvSpPr>
            <xdr:spPr bwMode="auto">
              <a:xfrm>
                <a:off x="3575191" y="13561944"/>
                <a:ext cx="642938" cy="2286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635" name="Option Button 611" hidden="1">
                <a:extLst>
                  <a:ext uri="{63B3BB69-23CF-44E3-9099-C40C66FF867C}">
                    <a14:compatExt spid="_x0000_s1635"/>
                  </a:ext>
                  <a:ext uri="{FF2B5EF4-FFF2-40B4-BE49-F238E27FC236}">
                    <a16:creationId xmlns:a16="http://schemas.microsoft.com/office/drawing/2014/main" id="{00000000-0008-0000-0000-000063060000}"/>
                  </a:ext>
                </a:extLst>
              </xdr:cNvPr>
              <xdr:cNvSpPr/>
            </xdr:nvSpPr>
            <xdr:spPr bwMode="auto">
              <a:xfrm>
                <a:off x="4527068" y="13546414"/>
                <a:ext cx="485475"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653" name="Option Button 629" hidden="1">
                <a:extLst>
                  <a:ext uri="{63B3BB69-23CF-44E3-9099-C40C66FF867C}">
                    <a14:compatExt spid="_x0000_s1653"/>
                  </a:ext>
                  <a:ext uri="{FF2B5EF4-FFF2-40B4-BE49-F238E27FC236}">
                    <a16:creationId xmlns:a16="http://schemas.microsoft.com/office/drawing/2014/main" id="{00000000-0008-0000-0000-000075060000}"/>
                  </a:ext>
                </a:extLst>
              </xdr:cNvPr>
              <xdr:cNvSpPr/>
            </xdr:nvSpPr>
            <xdr:spPr bwMode="auto">
              <a:xfrm>
                <a:off x="5417449" y="13546414"/>
                <a:ext cx="472291"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654" name="Option Button 630" hidden="1">
                <a:extLst>
                  <a:ext uri="{63B3BB69-23CF-44E3-9099-C40C66FF867C}">
                    <a14:compatExt spid="_x0000_s1654"/>
                  </a:ext>
                  <a:ext uri="{FF2B5EF4-FFF2-40B4-BE49-F238E27FC236}">
                    <a16:creationId xmlns:a16="http://schemas.microsoft.com/office/drawing/2014/main" id="{00000000-0008-0000-0000-000076060000}"/>
                  </a:ext>
                </a:extLst>
              </xdr:cNvPr>
              <xdr:cNvSpPr/>
            </xdr:nvSpPr>
            <xdr:spPr bwMode="auto">
              <a:xfrm>
                <a:off x="6365808" y="13546415"/>
                <a:ext cx="437679"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656" name="Option Button 632" hidden="1">
                <a:extLst>
                  <a:ext uri="{63B3BB69-23CF-44E3-9099-C40C66FF867C}">
                    <a14:compatExt spid="_x0000_s1656"/>
                  </a:ext>
                  <a:ext uri="{FF2B5EF4-FFF2-40B4-BE49-F238E27FC236}">
                    <a16:creationId xmlns:a16="http://schemas.microsoft.com/office/drawing/2014/main" id="{00000000-0008-0000-0000-000078060000}"/>
                  </a:ext>
                </a:extLst>
              </xdr:cNvPr>
              <xdr:cNvSpPr/>
            </xdr:nvSpPr>
            <xdr:spPr bwMode="auto">
              <a:xfrm>
                <a:off x="7264055" y="13552627"/>
                <a:ext cx="339379"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923925</xdr:colOff>
          <xdr:row>64</xdr:row>
          <xdr:rowOff>23813</xdr:rowOff>
        </xdr:from>
        <xdr:to>
          <xdr:col>13</xdr:col>
          <xdr:colOff>469681</xdr:colOff>
          <xdr:row>65</xdr:row>
          <xdr:rowOff>9525</xdr:rowOff>
        </xdr:to>
        <xdr:grpSp>
          <xdr:nvGrpSpPr>
            <xdr:cNvPr id="12" name="adjustment options">
              <a:extLst>
                <a:ext uri="{FF2B5EF4-FFF2-40B4-BE49-F238E27FC236}">
                  <a16:creationId xmlns:a16="http://schemas.microsoft.com/office/drawing/2014/main" id="{00000000-0008-0000-0000-00000C000000}"/>
                </a:ext>
              </a:extLst>
            </xdr:cNvPr>
            <xdr:cNvGrpSpPr/>
          </xdr:nvGrpSpPr>
          <xdr:grpSpPr>
            <a:xfrm>
              <a:off x="3349999" y="14143225"/>
              <a:ext cx="8107050" cy="299476"/>
              <a:chOff x="3347873" y="13867908"/>
              <a:chExt cx="8085411" cy="301023"/>
            </a:xfrm>
          </xdr:grpSpPr>
          <xdr:sp macro="" textlink="">
            <xdr:nvSpPr>
              <xdr:cNvPr id="1062" name="Group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3347873" y="13867908"/>
                <a:ext cx="8085411" cy="301023"/>
              </a:xfrm>
              <a:prstGeom prst="rect">
                <a:avLst/>
              </a:prstGeom>
              <a:noFill/>
              <a:ln w="9525">
                <a:miter lim="800000"/>
                <a:headEnd/>
                <a:tailEnd/>
              </a:ln>
              <a:extLst>
                <a:ext uri="{909E8E84-426E-40DD-AFC4-6F175D3DCCD1}">
                  <a14:hiddenFill>
                    <a:noFill/>
                  </a14:hiddenFill>
                </a:ext>
              </a:extLst>
            </xdr:spPr>
          </xdr:sp>
          <xdr:sp macro="" textlink="">
            <xdr:nvSpPr>
              <xdr:cNvPr id="1063" name="Option Button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3571183" y="13881816"/>
                <a:ext cx="385762" cy="262923"/>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5196052" y="13867908"/>
                <a:ext cx="418443" cy="2619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065" name="Option Button 41"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7061638" y="13867908"/>
                <a:ext cx="389868" cy="261937"/>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sp macro="" textlink="">
            <xdr:nvSpPr>
              <xdr:cNvPr id="1673" name="Option Button 649" hidden="1">
                <a:extLst>
                  <a:ext uri="{63B3BB69-23CF-44E3-9099-C40C66FF867C}">
                    <a14:compatExt spid="_x0000_s1673"/>
                  </a:ext>
                  <a:ext uri="{FF2B5EF4-FFF2-40B4-BE49-F238E27FC236}">
                    <a16:creationId xmlns:a16="http://schemas.microsoft.com/office/drawing/2014/main" id="{00000000-0008-0000-0000-000089060000}"/>
                  </a:ext>
                </a:extLst>
              </xdr:cNvPr>
              <xdr:cNvSpPr/>
            </xdr:nvSpPr>
            <xdr:spPr bwMode="auto">
              <a:xfrm>
                <a:off x="8889123" y="13886958"/>
                <a:ext cx="494643" cy="233362"/>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grp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14</xdr:col>
      <xdr:colOff>600075</xdr:colOff>
      <xdr:row>211</xdr:row>
      <xdr:rowOff>228599</xdr:rowOff>
    </xdr:from>
    <xdr:to>
      <xdr:col>22</xdr:col>
      <xdr:colOff>114300</xdr:colOff>
      <xdr:row>230</xdr:row>
      <xdr:rowOff>47624</xdr:rowOff>
    </xdr:to>
    <xdr:graphicFrame macro="">
      <xdr:nvGraphicFramePr>
        <xdr:cNvPr id="3" name="Chart 2">
          <a:extLst>
            <a:ext uri="{FF2B5EF4-FFF2-40B4-BE49-F238E27FC236}">
              <a16:creationId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21</xdr:col>
      <xdr:colOff>304800</xdr:colOff>
      <xdr:row>210</xdr:row>
      <xdr:rowOff>0</xdr:rowOff>
    </xdr:from>
    <xdr:to>
      <xdr:col>29</xdr:col>
      <xdr:colOff>0</xdr:colOff>
      <xdr:row>227</xdr:row>
      <xdr:rowOff>90487</xdr:rowOff>
    </xdr:to>
    <xdr:graphicFrame macro="">
      <xdr:nvGraphicFramePr>
        <xdr:cNvPr id="4" name="Chart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8</xdr:col>
      <xdr:colOff>276225</xdr:colOff>
      <xdr:row>38</xdr:row>
      <xdr:rowOff>9525</xdr:rowOff>
    </xdr:from>
    <xdr:to>
      <xdr:col>14</xdr:col>
      <xdr:colOff>295275</xdr:colOff>
      <xdr:row>51</xdr:row>
      <xdr:rowOff>1</xdr:rowOff>
    </xdr:to>
    <xdr:graphicFrame macro="">
      <xdr:nvGraphicFramePr>
        <xdr:cNvPr id="6" name="Chart 5">
          <a:extLst>
            <a:ext uri="{FF2B5EF4-FFF2-40B4-BE49-F238E27FC236}">
              <a16:creationId xmlns:a16="http://schemas.microsoft.com/office/drawing/2014/main" id="{00000000-0008-0000-01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218876</xdr:colOff>
      <xdr:row>0</xdr:row>
      <xdr:rowOff>0</xdr:rowOff>
    </xdr:from>
    <xdr:to>
      <xdr:col>2</xdr:col>
      <xdr:colOff>39414</xdr:colOff>
      <xdr:row>1</xdr:row>
      <xdr:rowOff>0</xdr:rowOff>
    </xdr:to>
    <xdr:graphicFrame macro="">
      <xdr:nvGraphicFramePr>
        <xdr:cNvPr id="2" name="Chart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846352</xdr:colOff>
      <xdr:row>0</xdr:row>
      <xdr:rowOff>13138</xdr:rowOff>
    </xdr:from>
    <xdr:to>
      <xdr:col>1</xdr:col>
      <xdr:colOff>5246902</xdr:colOff>
      <xdr:row>0</xdr:row>
      <xdr:rowOff>554157</xdr:rowOff>
    </xdr:to>
    <xdr:sp macro="" textlink="'HSC-AD data diagrams'!B7">
      <xdr:nvSpPr>
        <xdr:cNvPr id="3" name="TextBox 2">
          <a:extLst>
            <a:ext uri="{FF2B5EF4-FFF2-40B4-BE49-F238E27FC236}">
              <a16:creationId xmlns:a16="http://schemas.microsoft.com/office/drawing/2014/main" id="{00000000-0008-0000-0300-000003000000}"/>
            </a:ext>
          </a:extLst>
        </xdr:cNvPr>
        <xdr:cNvSpPr txBox="1"/>
      </xdr:nvSpPr>
      <xdr:spPr>
        <a:xfrm>
          <a:off x="846352" y="13138"/>
          <a:ext cx="4400550" cy="5410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1200" b="0" i="0" u="none" strike="noStrike">
              <a:solidFill>
                <a:srgbClr val="000000"/>
              </a:solidFill>
              <a:latin typeface="Calibri"/>
            </a:rPr>
            <a:pPr algn="ctr"/>
            <a:t>DN500-R0 Electric Control Voltage (V) &amp; Guide Ring Position (mm)</a:t>
          </a:fld>
          <a:endParaRPr lang="en-AU" sz="1200"/>
        </a:p>
      </xdr:txBody>
    </xdr:sp>
    <xdr:clientData/>
  </xdr:twoCellAnchor>
  <xdr:oneCellAnchor>
    <xdr:from>
      <xdr:col>1</xdr:col>
      <xdr:colOff>218876</xdr:colOff>
      <xdr:row>2</xdr:row>
      <xdr:rowOff>0</xdr:rowOff>
    </xdr:from>
    <xdr:ext cx="5643212" cy="3546231"/>
    <xdr:graphicFrame macro="">
      <xdr:nvGraphicFramePr>
        <xdr:cNvPr id="4" name="Chart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oneCellAnchor>
  <xdr:twoCellAnchor>
    <xdr:from>
      <xdr:col>1</xdr:col>
      <xdr:colOff>846352</xdr:colOff>
      <xdr:row>2</xdr:row>
      <xdr:rowOff>13138</xdr:rowOff>
    </xdr:from>
    <xdr:to>
      <xdr:col>1</xdr:col>
      <xdr:colOff>5246902</xdr:colOff>
      <xdr:row>2</xdr:row>
      <xdr:rowOff>554157</xdr:rowOff>
    </xdr:to>
    <xdr:sp macro="" textlink="'HSC-AD data diagrams'!B7">
      <xdr:nvSpPr>
        <xdr:cNvPr id="5" name="TextBox 4">
          <a:extLst>
            <a:ext uri="{FF2B5EF4-FFF2-40B4-BE49-F238E27FC236}">
              <a16:creationId xmlns:a16="http://schemas.microsoft.com/office/drawing/2014/main" id="{00000000-0008-0000-0300-000005000000}"/>
            </a:ext>
          </a:extLst>
        </xdr:cNvPr>
        <xdr:cNvSpPr txBox="1"/>
      </xdr:nvSpPr>
      <xdr:spPr>
        <a:xfrm>
          <a:off x="846352" y="13138"/>
          <a:ext cx="4400550" cy="5410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1200" b="0" i="0" u="none" strike="noStrike">
              <a:solidFill>
                <a:srgbClr val="000000"/>
              </a:solidFill>
              <a:latin typeface="Calibri"/>
            </a:rPr>
            <a:pPr algn="ctr"/>
            <a:t>DN500-R0 Electric Control Voltage (V) &amp; Guide Ring Position (mm)</a:t>
          </a:fld>
          <a:endParaRPr lang="en-AU" sz="1200"/>
        </a:p>
      </xdr:txBody>
    </xdr:sp>
    <xdr:clientData/>
  </xdr:twoCellAnchor>
  <xdr:oneCellAnchor>
    <xdr:from>
      <xdr:col>1</xdr:col>
      <xdr:colOff>218876</xdr:colOff>
      <xdr:row>4</xdr:row>
      <xdr:rowOff>0</xdr:rowOff>
    </xdr:from>
    <xdr:ext cx="5643212" cy="3538903"/>
    <xdr:graphicFrame macro="">
      <xdr:nvGraphicFramePr>
        <xdr:cNvPr id="6" name="Chart 5">
          <a:extLst>
            <a:ext uri="{FF2B5EF4-FFF2-40B4-BE49-F238E27FC236}">
              <a16:creationId xmlns:a16="http://schemas.microsoft.com/office/drawing/2014/main" id="{00000000-0008-0000-03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twoCellAnchor>
    <xdr:from>
      <xdr:col>1</xdr:col>
      <xdr:colOff>846352</xdr:colOff>
      <xdr:row>4</xdr:row>
      <xdr:rowOff>13138</xdr:rowOff>
    </xdr:from>
    <xdr:to>
      <xdr:col>1</xdr:col>
      <xdr:colOff>5246902</xdr:colOff>
      <xdr:row>4</xdr:row>
      <xdr:rowOff>554157</xdr:rowOff>
    </xdr:to>
    <xdr:sp macro="" textlink="'HSC-AD data diagrams'!B7">
      <xdr:nvSpPr>
        <xdr:cNvPr id="7" name="TextBox 6">
          <a:extLst>
            <a:ext uri="{FF2B5EF4-FFF2-40B4-BE49-F238E27FC236}">
              <a16:creationId xmlns:a16="http://schemas.microsoft.com/office/drawing/2014/main" id="{00000000-0008-0000-0300-000007000000}"/>
            </a:ext>
          </a:extLst>
        </xdr:cNvPr>
        <xdr:cNvSpPr txBox="1"/>
      </xdr:nvSpPr>
      <xdr:spPr>
        <a:xfrm>
          <a:off x="846352" y="13138"/>
          <a:ext cx="4400550" cy="5410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1200" b="0" i="0" u="none" strike="noStrike">
              <a:solidFill>
                <a:srgbClr val="000000"/>
              </a:solidFill>
              <a:latin typeface="Calibri"/>
            </a:rPr>
            <a:pPr algn="ctr"/>
            <a:t>DN500-R0 Electric Control Voltage (V) &amp; Guide Ring Position (mm)</a:t>
          </a:fld>
          <a:endParaRPr lang="en-AU" sz="1200"/>
        </a:p>
      </xdr:txBody>
    </xdr:sp>
    <xdr:clientData/>
  </xdr:twoCellAnchor>
  <xdr:oneCellAnchor>
    <xdr:from>
      <xdr:col>1</xdr:col>
      <xdr:colOff>218876</xdr:colOff>
      <xdr:row>6</xdr:row>
      <xdr:rowOff>0</xdr:rowOff>
    </xdr:from>
    <xdr:ext cx="5643212" cy="3538904"/>
    <xdr:graphicFrame macro="">
      <xdr:nvGraphicFramePr>
        <xdr:cNvPr id="8" name="Chart 7">
          <a:extLst>
            <a:ext uri="{FF2B5EF4-FFF2-40B4-BE49-F238E27FC236}">
              <a16:creationId xmlns:a16="http://schemas.microsoft.com/office/drawing/2014/main" id="{00000000-0008-0000-03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xdr:twoCellAnchor>
    <xdr:from>
      <xdr:col>1</xdr:col>
      <xdr:colOff>846352</xdr:colOff>
      <xdr:row>6</xdr:row>
      <xdr:rowOff>13138</xdr:rowOff>
    </xdr:from>
    <xdr:to>
      <xdr:col>1</xdr:col>
      <xdr:colOff>5246902</xdr:colOff>
      <xdr:row>6</xdr:row>
      <xdr:rowOff>554157</xdr:rowOff>
    </xdr:to>
    <xdr:sp macro="" textlink="'HSC-AD data diagrams'!B7">
      <xdr:nvSpPr>
        <xdr:cNvPr id="9" name="TextBox 8">
          <a:extLst>
            <a:ext uri="{FF2B5EF4-FFF2-40B4-BE49-F238E27FC236}">
              <a16:creationId xmlns:a16="http://schemas.microsoft.com/office/drawing/2014/main" id="{00000000-0008-0000-0300-000009000000}"/>
            </a:ext>
          </a:extLst>
        </xdr:cNvPr>
        <xdr:cNvSpPr txBox="1"/>
      </xdr:nvSpPr>
      <xdr:spPr>
        <a:xfrm>
          <a:off x="846352" y="13138"/>
          <a:ext cx="4400550" cy="5410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1200" b="0" i="0" u="none" strike="noStrike">
              <a:solidFill>
                <a:srgbClr val="000000"/>
              </a:solidFill>
              <a:latin typeface="Calibri"/>
            </a:rPr>
            <a:pPr algn="ctr"/>
            <a:t>DN500-R0 Electric Control Voltage (V) &amp; Guide Ring Position (mm)</a:t>
          </a:fld>
          <a:endParaRPr lang="en-AU" sz="1200"/>
        </a:p>
      </xdr:txBody>
    </xdr:sp>
    <xdr:clientData/>
  </xdr:twoCellAnchor>
  <xdr:oneCellAnchor>
    <xdr:from>
      <xdr:col>1</xdr:col>
      <xdr:colOff>218876</xdr:colOff>
      <xdr:row>8</xdr:row>
      <xdr:rowOff>0</xdr:rowOff>
    </xdr:from>
    <xdr:ext cx="5643212" cy="3538904"/>
    <xdr:graphicFrame macro="">
      <xdr:nvGraphicFramePr>
        <xdr:cNvPr id="10" name="Chart 9">
          <a:extLst>
            <a:ext uri="{FF2B5EF4-FFF2-40B4-BE49-F238E27FC236}">
              <a16:creationId xmlns:a16="http://schemas.microsoft.com/office/drawing/2014/main" id="{00000000-0008-0000-03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oneCellAnchor>
  <xdr:twoCellAnchor>
    <xdr:from>
      <xdr:col>1</xdr:col>
      <xdr:colOff>846352</xdr:colOff>
      <xdr:row>8</xdr:row>
      <xdr:rowOff>13138</xdr:rowOff>
    </xdr:from>
    <xdr:to>
      <xdr:col>1</xdr:col>
      <xdr:colOff>5246902</xdr:colOff>
      <xdr:row>8</xdr:row>
      <xdr:rowOff>554157</xdr:rowOff>
    </xdr:to>
    <xdr:sp macro="" textlink="'HSC-AD data diagrams'!B7">
      <xdr:nvSpPr>
        <xdr:cNvPr id="11" name="TextBox 10">
          <a:extLst>
            <a:ext uri="{FF2B5EF4-FFF2-40B4-BE49-F238E27FC236}">
              <a16:creationId xmlns:a16="http://schemas.microsoft.com/office/drawing/2014/main" id="{00000000-0008-0000-0300-00000B000000}"/>
            </a:ext>
          </a:extLst>
        </xdr:cNvPr>
        <xdr:cNvSpPr txBox="1"/>
      </xdr:nvSpPr>
      <xdr:spPr>
        <a:xfrm>
          <a:off x="846352" y="13138"/>
          <a:ext cx="4400550" cy="54101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1200" b="0" i="0" u="none" strike="noStrike">
              <a:solidFill>
                <a:srgbClr val="000000"/>
              </a:solidFill>
              <a:latin typeface="Calibri"/>
            </a:rPr>
            <a:pPr algn="ctr"/>
            <a:t>DN500-R0 Electric Control Voltage (V) &amp; Guide Ring Position (mm)</a:t>
          </a:fld>
          <a:endParaRPr lang="en-AU" sz="12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114300</xdr:colOff>
      <xdr:row>15</xdr:row>
      <xdr:rowOff>123825</xdr:rowOff>
    </xdr:from>
    <xdr:to>
      <xdr:col>14</xdr:col>
      <xdr:colOff>475552</xdr:colOff>
      <xdr:row>53</xdr:row>
      <xdr:rowOff>171380</xdr:rowOff>
    </xdr:to>
    <xdr:grpSp>
      <xdr:nvGrpSpPr>
        <xdr:cNvPr id="14" name="Group 13">
          <a:extLst>
            <a:ext uri="{FF2B5EF4-FFF2-40B4-BE49-F238E27FC236}">
              <a16:creationId xmlns:a16="http://schemas.microsoft.com/office/drawing/2014/main" id="{00000000-0008-0000-0400-00000E000000}"/>
            </a:ext>
          </a:extLst>
        </xdr:cNvPr>
        <xdr:cNvGrpSpPr/>
      </xdr:nvGrpSpPr>
      <xdr:grpSpPr>
        <a:xfrm>
          <a:off x="1409700" y="3490913"/>
          <a:ext cx="9324277" cy="7500867"/>
          <a:chOff x="1247775" y="3686175"/>
          <a:chExt cx="8724202" cy="7581830"/>
        </a:xfrm>
      </xdr:grpSpPr>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1247775" y="3686175"/>
            <a:ext cx="8247619" cy="7038095"/>
          </a:xfrm>
          <a:prstGeom prst="rect">
            <a:avLst/>
          </a:prstGeom>
        </xdr:spPr>
      </xdr:pic>
      <xdr:sp macro="" textlink="$C$18">
        <xdr:nvSpPr>
          <xdr:cNvPr id="3" name="TextBox 2">
            <a:extLst>
              <a:ext uri="{FF2B5EF4-FFF2-40B4-BE49-F238E27FC236}">
                <a16:creationId xmlns:a16="http://schemas.microsoft.com/office/drawing/2014/main" id="{00000000-0008-0000-0400-000003000000}"/>
              </a:ext>
            </a:extLst>
          </xdr:cNvPr>
          <xdr:cNvSpPr txBox="1"/>
        </xdr:nvSpPr>
        <xdr:spPr>
          <a:xfrm>
            <a:off x="4533901" y="5172076"/>
            <a:ext cx="97154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D66B059-8930-43CC-A137-C468ECF74252}" type="TxLink">
              <a:rPr lang="en-US" sz="1100" b="1" i="0" u="none" strike="noStrike">
                <a:solidFill>
                  <a:srgbClr val="000000"/>
                </a:solidFill>
                <a:latin typeface="Calibri"/>
              </a:rPr>
              <a:pPr algn="ctr"/>
              <a:t>&gt; 355(1×DN)</a:t>
            </a:fld>
            <a:endParaRPr lang="en-AU" sz="1050" b="1"/>
          </a:p>
        </xdr:txBody>
      </xdr:sp>
      <xdr:sp macro="" textlink="$J$17">
        <xdr:nvSpPr>
          <xdr:cNvPr id="4" name="TextBox 3">
            <a:extLst>
              <a:ext uri="{FF2B5EF4-FFF2-40B4-BE49-F238E27FC236}">
                <a16:creationId xmlns:a16="http://schemas.microsoft.com/office/drawing/2014/main" id="{00000000-0008-0000-0400-000004000000}"/>
              </a:ext>
            </a:extLst>
          </xdr:cNvPr>
          <xdr:cNvSpPr txBox="1"/>
        </xdr:nvSpPr>
        <xdr:spPr>
          <a:xfrm>
            <a:off x="4886326" y="6076951"/>
            <a:ext cx="64769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89FB2755-2A03-404A-8D8E-413D622235F9}" type="TxLink">
              <a:rPr lang="en-US" sz="1100" b="1" i="0" u="none" strike="noStrike">
                <a:solidFill>
                  <a:srgbClr val="000000"/>
                </a:solidFill>
                <a:latin typeface="Calibri"/>
              </a:rPr>
              <a:pPr algn="ctr"/>
              <a:t>H2 = 20</a:t>
            </a:fld>
            <a:endParaRPr lang="en-AU" sz="1100" b="1"/>
          </a:p>
        </xdr:txBody>
      </xdr:sp>
      <xdr:sp macro="" textlink="$C$17">
        <xdr:nvSpPr>
          <xdr:cNvPr id="5" name="TextBox 4">
            <a:extLst>
              <a:ext uri="{FF2B5EF4-FFF2-40B4-BE49-F238E27FC236}">
                <a16:creationId xmlns:a16="http://schemas.microsoft.com/office/drawing/2014/main" id="{00000000-0008-0000-0400-000005000000}"/>
              </a:ext>
            </a:extLst>
          </xdr:cNvPr>
          <xdr:cNvSpPr txBox="1"/>
        </xdr:nvSpPr>
        <xdr:spPr>
          <a:xfrm>
            <a:off x="2800351" y="6257926"/>
            <a:ext cx="72389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28B2126-C7F5-4BBD-8305-19B238DFFA64}" type="TxLink">
              <a:rPr lang="en-US" sz="1100" b="1" i="0" u="none" strike="noStrike">
                <a:solidFill>
                  <a:srgbClr val="000000"/>
                </a:solidFill>
                <a:latin typeface="Calibri"/>
              </a:rPr>
              <a:pPr algn="ctr"/>
              <a:t>DN = 355</a:t>
            </a:fld>
            <a:endParaRPr lang="en-AU" sz="1100" b="1"/>
          </a:p>
        </xdr:txBody>
      </xdr:sp>
      <xdr:sp macro="" textlink="$D$17">
        <xdr:nvSpPr>
          <xdr:cNvPr id="6" name="TextBox 5">
            <a:extLst>
              <a:ext uri="{FF2B5EF4-FFF2-40B4-BE49-F238E27FC236}">
                <a16:creationId xmlns:a16="http://schemas.microsoft.com/office/drawing/2014/main" id="{00000000-0008-0000-0400-000006000000}"/>
              </a:ext>
            </a:extLst>
          </xdr:cNvPr>
          <xdr:cNvSpPr txBox="1"/>
        </xdr:nvSpPr>
        <xdr:spPr>
          <a:xfrm>
            <a:off x="2800352" y="6515101"/>
            <a:ext cx="723898"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7748A63A-FFB5-489B-AF5D-D045DEEB20D5}" type="TxLink">
              <a:rPr lang="en-US" sz="1100" b="1" i="0" u="none" strike="noStrike">
                <a:solidFill>
                  <a:srgbClr val="000000"/>
                </a:solidFill>
                <a:latin typeface="Calibri"/>
              </a:rPr>
              <a:pPr algn="ctr"/>
              <a:t>D2 = 395</a:t>
            </a:fld>
            <a:endParaRPr lang="en-AU" sz="1100" b="1"/>
          </a:p>
        </xdr:txBody>
      </xdr:sp>
      <xdr:sp macro="" textlink="$C$19">
        <xdr:nvSpPr>
          <xdr:cNvPr id="7" name="TextBox 6">
            <a:extLst>
              <a:ext uri="{FF2B5EF4-FFF2-40B4-BE49-F238E27FC236}">
                <a16:creationId xmlns:a16="http://schemas.microsoft.com/office/drawing/2014/main" id="{00000000-0008-0000-0400-000007000000}"/>
              </a:ext>
            </a:extLst>
          </xdr:cNvPr>
          <xdr:cNvSpPr txBox="1"/>
        </xdr:nvSpPr>
        <xdr:spPr>
          <a:xfrm>
            <a:off x="2514601" y="6772275"/>
            <a:ext cx="1247774" cy="485774"/>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89A0EA2-313D-429B-A096-AA27BF679BC3}" type="TxLink">
              <a:rPr lang="en-US" sz="1100" b="1" i="0" u="none" strike="noStrike">
                <a:solidFill>
                  <a:srgbClr val="000000"/>
                </a:solidFill>
                <a:latin typeface="Calibri"/>
              </a:rPr>
              <a:pPr algn="ctr"/>
              <a:t>D4 = Ø530 OR       E = □445, 595, 603</a:t>
            </a:fld>
            <a:endParaRPr lang="en-AU" sz="1100" b="1"/>
          </a:p>
        </xdr:txBody>
      </xdr:sp>
      <xdr:sp macro="" textlink="$G$17">
        <xdr:nvSpPr>
          <xdr:cNvPr id="8" name="TextBox 7">
            <a:extLst>
              <a:ext uri="{FF2B5EF4-FFF2-40B4-BE49-F238E27FC236}">
                <a16:creationId xmlns:a16="http://schemas.microsoft.com/office/drawing/2014/main" id="{00000000-0008-0000-0400-000008000000}"/>
              </a:ext>
            </a:extLst>
          </xdr:cNvPr>
          <xdr:cNvSpPr txBox="1"/>
        </xdr:nvSpPr>
        <xdr:spPr>
          <a:xfrm>
            <a:off x="8496300" y="4981576"/>
            <a:ext cx="695325"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8510494-3943-453B-A9F9-BC2F4A28A382}" type="TxLink">
              <a:rPr lang="en-US" sz="1100" b="1" i="0" u="none" strike="noStrike">
                <a:solidFill>
                  <a:srgbClr val="000000"/>
                </a:solidFill>
                <a:latin typeface="Calibri"/>
              </a:rPr>
              <a:pPr algn="ctr"/>
              <a:t>D5 = 354</a:t>
            </a:fld>
            <a:endParaRPr lang="en-AU" sz="1100" b="1"/>
          </a:p>
        </xdr:txBody>
      </xdr:sp>
      <xdr:sp macro="" textlink="$I$17">
        <xdr:nvSpPr>
          <xdr:cNvPr id="9" name="TextBox 8">
            <a:extLst>
              <a:ext uri="{FF2B5EF4-FFF2-40B4-BE49-F238E27FC236}">
                <a16:creationId xmlns:a16="http://schemas.microsoft.com/office/drawing/2014/main" id="{00000000-0008-0000-0400-000009000000}"/>
              </a:ext>
            </a:extLst>
          </xdr:cNvPr>
          <xdr:cNvSpPr txBox="1"/>
        </xdr:nvSpPr>
        <xdr:spPr>
          <a:xfrm>
            <a:off x="9220201" y="4981576"/>
            <a:ext cx="70484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B059A3BA-0FDC-47A0-B11A-1E0525C0ED5D}" type="TxLink">
              <a:rPr lang="en-US" sz="1100" b="1" i="0" u="none" strike="noStrike">
                <a:solidFill>
                  <a:srgbClr val="000000"/>
                </a:solidFill>
                <a:latin typeface="Calibri"/>
              </a:rPr>
              <a:pPr algn="ctr"/>
              <a:t>H1 = 550</a:t>
            </a:fld>
            <a:endParaRPr lang="en-AU" sz="1100" b="1"/>
          </a:p>
        </xdr:txBody>
      </xdr:sp>
      <xdr:sp macro="" textlink="$L$17">
        <xdr:nvSpPr>
          <xdr:cNvPr id="10" name="TextBox 9">
            <a:extLst>
              <a:ext uri="{FF2B5EF4-FFF2-40B4-BE49-F238E27FC236}">
                <a16:creationId xmlns:a16="http://schemas.microsoft.com/office/drawing/2014/main" id="{00000000-0008-0000-0400-00000A000000}"/>
              </a:ext>
            </a:extLst>
          </xdr:cNvPr>
          <xdr:cNvSpPr txBox="1"/>
        </xdr:nvSpPr>
        <xdr:spPr>
          <a:xfrm>
            <a:off x="6934201" y="7153276"/>
            <a:ext cx="704849"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7A2805F6-D53B-43B0-A936-92F898DD8406}" type="TxLink">
              <a:rPr lang="en-US" sz="1100" b="1" i="0" u="none" strike="noStrike">
                <a:solidFill>
                  <a:srgbClr val="000000"/>
                </a:solidFill>
                <a:latin typeface="Calibri"/>
              </a:rPr>
              <a:pPr algn="ctr"/>
              <a:t>F = 320</a:t>
            </a:fld>
            <a:endParaRPr lang="en-AU" sz="1100" b="1"/>
          </a:p>
        </xdr:txBody>
      </xdr:sp>
      <xdr:sp macro="" textlink="$K$17">
        <xdr:nvSpPr>
          <xdr:cNvPr id="11" name="TextBox 10">
            <a:extLst>
              <a:ext uri="{FF2B5EF4-FFF2-40B4-BE49-F238E27FC236}">
                <a16:creationId xmlns:a16="http://schemas.microsoft.com/office/drawing/2014/main" id="{00000000-0008-0000-0400-00000B000000}"/>
              </a:ext>
            </a:extLst>
          </xdr:cNvPr>
          <xdr:cNvSpPr txBox="1"/>
        </xdr:nvSpPr>
        <xdr:spPr>
          <a:xfrm>
            <a:off x="1257302" y="5943601"/>
            <a:ext cx="704848"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196B454F-DD0A-4173-89D4-1F2F28DEB0EB}" type="TxLink">
              <a:rPr lang="en-US" sz="1100" b="1" i="0" u="none" strike="noStrike">
                <a:solidFill>
                  <a:srgbClr val="000000"/>
                </a:solidFill>
                <a:latin typeface="Calibri"/>
              </a:rPr>
              <a:pPr algn="ctr"/>
              <a:t>H3 = 80</a:t>
            </a:fld>
            <a:endParaRPr lang="en-AU" sz="1100" b="1"/>
          </a:p>
        </xdr:txBody>
      </xdr:sp>
      <xdr:pic>
        <xdr:nvPicPr>
          <xdr:cNvPr id="12" name="Picture 11">
            <a:extLst>
              <a:ext uri="{FF2B5EF4-FFF2-40B4-BE49-F238E27FC236}">
                <a16:creationId xmlns:a16="http://schemas.microsoft.com/office/drawing/2014/main" id="{00000000-0008-0000-0400-00000C000000}"/>
              </a:ext>
            </a:extLst>
          </xdr:cNvPr>
          <xdr:cNvPicPr>
            <a:picLocks noChangeAspect="1"/>
          </xdr:cNvPicPr>
        </xdr:nvPicPr>
        <xdr:blipFill>
          <a:blip xmlns:r="http://schemas.openxmlformats.org/officeDocument/2006/relationships" r:embed="rId2"/>
          <a:stretch>
            <a:fillRect/>
          </a:stretch>
        </xdr:blipFill>
        <xdr:spPr>
          <a:xfrm>
            <a:off x="4391025" y="10706100"/>
            <a:ext cx="5580952" cy="561905"/>
          </a:xfrm>
          <a:prstGeom prst="rect">
            <a:avLst/>
          </a:prstGeom>
        </xdr:spPr>
      </xdr:pic>
      <xdr:sp macro="" textlink="$H$17">
        <xdr:nvSpPr>
          <xdr:cNvPr id="13" name="TextBox 12">
            <a:extLst>
              <a:ext uri="{FF2B5EF4-FFF2-40B4-BE49-F238E27FC236}">
                <a16:creationId xmlns:a16="http://schemas.microsoft.com/office/drawing/2014/main" id="{00000000-0008-0000-0400-00000D000000}"/>
              </a:ext>
            </a:extLst>
          </xdr:cNvPr>
          <xdr:cNvSpPr txBox="1"/>
        </xdr:nvSpPr>
        <xdr:spPr>
          <a:xfrm>
            <a:off x="6905625" y="3810001"/>
            <a:ext cx="695325" cy="247649"/>
          </a:xfrm>
          <a:prstGeom prst="rect">
            <a:avLst/>
          </a:prstGeom>
          <a:solidFill>
            <a:schemeClr val="bg1">
              <a:lumMod val="95000"/>
            </a:schemeClr>
          </a:solidFill>
          <a:ln w="9525" cmpd="sng">
            <a:solidFill>
              <a:schemeClr val="tx1">
                <a:lumMod val="75000"/>
                <a:lumOff val="25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5DE12AED-43F3-420C-90E9-C3C0ED81BD1D}" type="TxLink">
              <a:rPr lang="en-US" sz="1100" b="1" i="0" u="none" strike="noStrike">
                <a:solidFill>
                  <a:srgbClr val="000000"/>
                </a:solidFill>
                <a:latin typeface="Calibri"/>
              </a:rPr>
              <a:pPr algn="ctr"/>
              <a:t>L = 495</a:t>
            </a:fld>
            <a:endParaRPr lang="en-AU" sz="1100" b="1"/>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2324100</xdr:colOff>
      <xdr:row>0</xdr:row>
      <xdr:rowOff>1571625</xdr:rowOff>
    </xdr:to>
    <xdr:sp macro="" textlink="">
      <xdr:nvSpPr>
        <xdr:cNvPr id="65" name="Rounded Rectangle 4">
          <a:extLst>
            <a:ext uri="{FF2B5EF4-FFF2-40B4-BE49-F238E27FC236}">
              <a16:creationId xmlns:a16="http://schemas.microsoft.com/office/drawing/2014/main" id="{00000000-0008-0000-0500-000041000000}"/>
            </a:ext>
          </a:extLst>
        </xdr:cNvPr>
        <xdr:cNvSpPr/>
      </xdr:nvSpPr>
      <xdr:spPr>
        <a:xfrm>
          <a:off x="9715500" y="14135100"/>
          <a:ext cx="2324100" cy="1571625"/>
        </a:xfrm>
        <a:prstGeom prst="round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AU" sz="1100"/>
        </a:p>
      </xdr:txBody>
    </xdr:sp>
    <xdr:clientData/>
  </xdr:twoCellAnchor>
  <xdr:oneCellAnchor>
    <xdr:from>
      <xdr:col>1</xdr:col>
      <xdr:colOff>5241</xdr:colOff>
      <xdr:row>0</xdr:row>
      <xdr:rowOff>8282</xdr:rowOff>
    </xdr:from>
    <xdr:ext cx="3142771" cy="2163417"/>
    <xdr:graphicFrame macro="">
      <xdr:nvGraphicFramePr>
        <xdr:cNvPr id="66" name="Chart 65">
          <a:extLst>
            <a:ext uri="{FF2B5EF4-FFF2-40B4-BE49-F238E27FC236}">
              <a16:creationId xmlns:a16="http://schemas.microsoft.com/office/drawing/2014/main" id="{00000000-0008-0000-0500-00004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oneCellAnchor>
  <xdr:twoCellAnchor>
    <xdr:from>
      <xdr:col>1</xdr:col>
      <xdr:colOff>4763</xdr:colOff>
      <xdr:row>0</xdr:row>
      <xdr:rowOff>1</xdr:rowOff>
    </xdr:from>
    <xdr:to>
      <xdr:col>1</xdr:col>
      <xdr:colOff>3205163</xdr:colOff>
      <xdr:row>0</xdr:row>
      <xdr:rowOff>400051</xdr:rowOff>
    </xdr:to>
    <xdr:sp macro="" textlink="'HSC-AD data diagrams'!B7">
      <xdr:nvSpPr>
        <xdr:cNvPr id="67" name="TextBox 66">
          <a:extLst>
            <a:ext uri="{FF2B5EF4-FFF2-40B4-BE49-F238E27FC236}">
              <a16:creationId xmlns:a16="http://schemas.microsoft.com/office/drawing/2014/main" id="{00000000-0008-0000-0500-000043000000}"/>
            </a:ext>
          </a:extLst>
        </xdr:cNvPr>
        <xdr:cNvSpPr txBox="1"/>
      </xdr:nvSpPr>
      <xdr:spPr>
        <a:xfrm>
          <a:off x="652463" y="1"/>
          <a:ext cx="3200400" cy="400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900" b="0" i="0" u="none" strike="noStrike">
              <a:solidFill>
                <a:srgbClr val="000000"/>
              </a:solidFill>
              <a:latin typeface="Times New Roman" panose="02020603050405020304" pitchFamily="18" charset="0"/>
              <a:cs typeface="Times New Roman" panose="02020603050405020304" pitchFamily="18" charset="0"/>
            </a:rPr>
            <a:pPr algn="ctr"/>
            <a:t>DN500-R0 Electric Control Voltage (V) &amp; Guide Ring Position (mm)</a:t>
          </a:fld>
          <a:endParaRPr lang="en-AU" sz="900">
            <a:latin typeface="Times New Roman" panose="02020603050405020304" pitchFamily="18" charset="0"/>
            <a:cs typeface="Times New Roman" panose="02020603050405020304" pitchFamily="18" charset="0"/>
          </a:endParaRPr>
        </a:p>
      </xdr:txBody>
    </xdr:sp>
    <xdr:clientData/>
  </xdr:twoCellAnchor>
  <xdr:oneCellAnchor>
    <xdr:from>
      <xdr:col>1</xdr:col>
      <xdr:colOff>14286</xdr:colOff>
      <xdr:row>1</xdr:row>
      <xdr:rowOff>9525</xdr:rowOff>
    </xdr:from>
    <xdr:ext cx="3124201" cy="2139043"/>
    <xdr:graphicFrame macro="">
      <xdr:nvGraphicFramePr>
        <xdr:cNvPr id="68" name="Chart 67">
          <a:extLst>
            <a:ext uri="{FF2B5EF4-FFF2-40B4-BE49-F238E27FC236}">
              <a16:creationId xmlns:a16="http://schemas.microsoft.com/office/drawing/2014/main" id="{00000000-0008-0000-0500-00004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oneCellAnchor>
  <xdr:twoCellAnchor>
    <xdr:from>
      <xdr:col>1</xdr:col>
      <xdr:colOff>14287</xdr:colOff>
      <xdr:row>1</xdr:row>
      <xdr:rowOff>8163</xdr:rowOff>
    </xdr:from>
    <xdr:to>
      <xdr:col>1</xdr:col>
      <xdr:colOff>3148012</xdr:colOff>
      <xdr:row>1</xdr:row>
      <xdr:rowOff>427892</xdr:rowOff>
    </xdr:to>
    <xdr:sp macro="" textlink="'HSC-AD data diagrams'!B7">
      <xdr:nvSpPr>
        <xdr:cNvPr id="69" name="TextBox 68">
          <a:extLst>
            <a:ext uri="{FF2B5EF4-FFF2-40B4-BE49-F238E27FC236}">
              <a16:creationId xmlns:a16="http://schemas.microsoft.com/office/drawing/2014/main" id="{00000000-0008-0000-0500-000045000000}"/>
            </a:ext>
          </a:extLst>
        </xdr:cNvPr>
        <xdr:cNvSpPr txBox="1"/>
      </xdr:nvSpPr>
      <xdr:spPr>
        <a:xfrm>
          <a:off x="661987" y="2198913"/>
          <a:ext cx="3133725" cy="4197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900" b="0" i="0" u="none" strike="noStrike">
              <a:solidFill>
                <a:srgbClr val="000000"/>
              </a:solidFill>
              <a:latin typeface="Times New Roman" panose="02020603050405020304" pitchFamily="18" charset="0"/>
              <a:cs typeface="Times New Roman" panose="02020603050405020304" pitchFamily="18" charset="0"/>
            </a:rPr>
            <a:pPr algn="ctr"/>
            <a:t>DN500-R0 Electric Control Voltage (V) &amp; Guide Ring Position (mm)</a:t>
          </a:fld>
          <a:endParaRPr lang="en-AU" sz="900">
            <a:latin typeface="Times New Roman" panose="02020603050405020304" pitchFamily="18" charset="0"/>
            <a:cs typeface="Times New Roman" panose="02020603050405020304" pitchFamily="18" charset="0"/>
          </a:endParaRPr>
        </a:p>
      </xdr:txBody>
    </xdr:sp>
    <xdr:clientData/>
  </xdr:twoCellAnchor>
  <xdr:oneCellAnchor>
    <xdr:from>
      <xdr:col>0</xdr:col>
      <xdr:colOff>647698</xdr:colOff>
      <xdr:row>2</xdr:row>
      <xdr:rowOff>0</xdr:rowOff>
    </xdr:from>
    <xdr:ext cx="3138489" cy="2139043"/>
    <xdr:graphicFrame macro="">
      <xdr:nvGraphicFramePr>
        <xdr:cNvPr id="70" name="Chart 69">
          <a:extLst>
            <a:ext uri="{FF2B5EF4-FFF2-40B4-BE49-F238E27FC236}">
              <a16:creationId xmlns:a16="http://schemas.microsoft.com/office/drawing/2014/main" id="{00000000-0008-0000-0500-00004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twoCellAnchor>
    <xdr:from>
      <xdr:col>0</xdr:col>
      <xdr:colOff>633413</xdr:colOff>
      <xdr:row>1</xdr:row>
      <xdr:rowOff>2188028</xdr:rowOff>
    </xdr:from>
    <xdr:to>
      <xdr:col>1</xdr:col>
      <xdr:colOff>3119438</xdr:colOff>
      <xdr:row>2</xdr:row>
      <xdr:rowOff>427892</xdr:rowOff>
    </xdr:to>
    <xdr:sp macro="" textlink="'HSC-AD data diagrams'!B7">
      <xdr:nvSpPr>
        <xdr:cNvPr id="71" name="TextBox 70">
          <a:extLst>
            <a:ext uri="{FF2B5EF4-FFF2-40B4-BE49-F238E27FC236}">
              <a16:creationId xmlns:a16="http://schemas.microsoft.com/office/drawing/2014/main" id="{00000000-0008-0000-0500-000047000000}"/>
            </a:ext>
          </a:extLst>
        </xdr:cNvPr>
        <xdr:cNvSpPr txBox="1"/>
      </xdr:nvSpPr>
      <xdr:spPr>
        <a:xfrm>
          <a:off x="633413" y="4378778"/>
          <a:ext cx="3133725" cy="43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900" b="0" i="0" u="none" strike="noStrike">
              <a:solidFill>
                <a:srgbClr val="000000"/>
              </a:solidFill>
              <a:latin typeface="Times New Roman" panose="02020603050405020304" pitchFamily="18" charset="0"/>
              <a:cs typeface="Times New Roman" panose="02020603050405020304" pitchFamily="18" charset="0"/>
            </a:rPr>
            <a:pPr algn="ctr"/>
            <a:t>DN500-R0 Electric Control Voltage (V) &amp; Guide Ring Position (mm)</a:t>
          </a:fld>
          <a:endParaRPr lang="en-AU" sz="900">
            <a:latin typeface="Times New Roman" panose="02020603050405020304" pitchFamily="18" charset="0"/>
            <a:cs typeface="Times New Roman" panose="02020603050405020304" pitchFamily="18" charset="0"/>
          </a:endParaRPr>
        </a:p>
      </xdr:txBody>
    </xdr:sp>
    <xdr:clientData/>
  </xdr:twoCellAnchor>
  <xdr:oneCellAnchor>
    <xdr:from>
      <xdr:col>0</xdr:col>
      <xdr:colOff>609599</xdr:colOff>
      <xdr:row>3</xdr:row>
      <xdr:rowOff>0</xdr:rowOff>
    </xdr:from>
    <xdr:ext cx="3176589" cy="2171700"/>
    <xdr:graphicFrame macro="">
      <xdr:nvGraphicFramePr>
        <xdr:cNvPr id="72" name="Chart 71">
          <a:extLst>
            <a:ext uri="{FF2B5EF4-FFF2-40B4-BE49-F238E27FC236}">
              <a16:creationId xmlns:a16="http://schemas.microsoft.com/office/drawing/2014/main" id="{00000000-0008-0000-0500-00004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xdr:twoCellAnchor>
    <xdr:from>
      <xdr:col>0</xdr:col>
      <xdr:colOff>563963</xdr:colOff>
      <xdr:row>2</xdr:row>
      <xdr:rowOff>2177141</xdr:rowOff>
    </xdr:from>
    <xdr:to>
      <xdr:col>1</xdr:col>
      <xdr:colOff>3224213</xdr:colOff>
      <xdr:row>3</xdr:row>
      <xdr:rowOff>413238</xdr:rowOff>
    </xdr:to>
    <xdr:sp macro="" textlink="'HSC-AD data diagrams'!B7">
      <xdr:nvSpPr>
        <xdr:cNvPr id="73" name="TextBox 72">
          <a:extLst>
            <a:ext uri="{FF2B5EF4-FFF2-40B4-BE49-F238E27FC236}">
              <a16:creationId xmlns:a16="http://schemas.microsoft.com/office/drawing/2014/main" id="{00000000-0008-0000-0500-000049000000}"/>
            </a:ext>
          </a:extLst>
        </xdr:cNvPr>
        <xdr:cNvSpPr txBox="1"/>
      </xdr:nvSpPr>
      <xdr:spPr>
        <a:xfrm>
          <a:off x="563963" y="6558641"/>
          <a:ext cx="3307950" cy="42684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900" b="0" i="0" u="none" strike="noStrike">
              <a:solidFill>
                <a:srgbClr val="000000"/>
              </a:solidFill>
              <a:latin typeface="Times New Roman" panose="02020603050405020304" pitchFamily="18" charset="0"/>
              <a:cs typeface="Times New Roman" panose="02020603050405020304" pitchFamily="18" charset="0"/>
            </a:rPr>
            <a:pPr algn="ctr"/>
            <a:t>DN500-R0 Electric Control Voltage (V) &amp; Guide Ring Position (mm)</a:t>
          </a:fld>
          <a:endParaRPr lang="en-AU" sz="900">
            <a:latin typeface="Times New Roman" panose="02020603050405020304" pitchFamily="18" charset="0"/>
            <a:cs typeface="Times New Roman" panose="02020603050405020304" pitchFamily="18" charset="0"/>
          </a:endParaRPr>
        </a:p>
      </xdr:txBody>
    </xdr:sp>
    <xdr:clientData/>
  </xdr:twoCellAnchor>
  <xdr:oneCellAnchor>
    <xdr:from>
      <xdr:col>1</xdr:col>
      <xdr:colOff>0</xdr:colOff>
      <xdr:row>3</xdr:row>
      <xdr:rowOff>2190749</xdr:rowOff>
    </xdr:from>
    <xdr:ext cx="3138488" cy="2181225"/>
    <xdr:graphicFrame macro="">
      <xdr:nvGraphicFramePr>
        <xdr:cNvPr id="74" name="Chart 73">
          <a:extLst>
            <a:ext uri="{FF2B5EF4-FFF2-40B4-BE49-F238E27FC236}">
              <a16:creationId xmlns:a16="http://schemas.microsoft.com/office/drawing/2014/main" id="{00000000-0008-0000-0500-00004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oneCellAnchor>
  <xdr:twoCellAnchor>
    <xdr:from>
      <xdr:col>0</xdr:col>
      <xdr:colOff>585788</xdr:colOff>
      <xdr:row>3</xdr:row>
      <xdr:rowOff>2188028</xdr:rowOff>
    </xdr:from>
    <xdr:to>
      <xdr:col>1</xdr:col>
      <xdr:colOff>3128963</xdr:colOff>
      <xdr:row>4</xdr:row>
      <xdr:rowOff>449873</xdr:rowOff>
    </xdr:to>
    <xdr:sp macro="" textlink="'HSC-AD data diagrams'!B7">
      <xdr:nvSpPr>
        <xdr:cNvPr id="75" name="TextBox 74">
          <a:extLst>
            <a:ext uri="{FF2B5EF4-FFF2-40B4-BE49-F238E27FC236}">
              <a16:creationId xmlns:a16="http://schemas.microsoft.com/office/drawing/2014/main" id="{00000000-0008-0000-0500-00004B000000}"/>
            </a:ext>
          </a:extLst>
        </xdr:cNvPr>
        <xdr:cNvSpPr txBox="1"/>
      </xdr:nvSpPr>
      <xdr:spPr>
        <a:xfrm>
          <a:off x="585788" y="8760278"/>
          <a:ext cx="3190875" cy="45259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950F0B10-BDDE-43DC-8C58-27E5B5084CA9}" type="TxLink">
            <a:rPr lang="en-US" sz="900" b="0" i="0" u="none" strike="noStrike">
              <a:solidFill>
                <a:srgbClr val="000000"/>
              </a:solidFill>
              <a:latin typeface="Times New Roman" panose="02020603050405020304" pitchFamily="18" charset="0"/>
              <a:cs typeface="Times New Roman" panose="02020603050405020304" pitchFamily="18" charset="0"/>
            </a:rPr>
            <a:pPr algn="ctr"/>
            <a:t>DN500-R0 Electric Control Voltage (V) &amp; Guide Ring Position (mm)</a:t>
          </a:fld>
          <a:endParaRPr lang="en-AU" sz="900">
            <a:latin typeface="Times New Roman" panose="02020603050405020304" pitchFamily="18" charset="0"/>
            <a:cs typeface="Times New Roman" panose="02020603050405020304" pitchFamily="18" charset="0"/>
          </a:endParaRPr>
        </a:p>
      </xdr:txBody>
    </xdr:sp>
    <xdr:clientData/>
  </xdr:twoCellAnchor>
  <xdr:twoCellAnchor>
    <xdr:from>
      <xdr:col>1</xdr:col>
      <xdr:colOff>1409700</xdr:colOff>
      <xdr:row>0</xdr:row>
      <xdr:rowOff>238125</xdr:rowOff>
    </xdr:from>
    <xdr:to>
      <xdr:col>1</xdr:col>
      <xdr:colOff>2571750</xdr:colOff>
      <xdr:row>0</xdr:row>
      <xdr:rowOff>428625</xdr:rowOff>
    </xdr:to>
    <xdr:sp macro="" textlink="">
      <xdr:nvSpPr>
        <xdr:cNvPr id="76" name="TextBox 75">
          <a:extLst>
            <a:ext uri="{FF2B5EF4-FFF2-40B4-BE49-F238E27FC236}">
              <a16:creationId xmlns:a16="http://schemas.microsoft.com/office/drawing/2014/main" id="{00000000-0008-0000-0500-00004C000000}"/>
            </a:ext>
          </a:extLst>
        </xdr:cNvPr>
        <xdr:cNvSpPr txBox="1"/>
      </xdr:nvSpPr>
      <xdr:spPr>
        <a:xfrm>
          <a:off x="11125200" y="14373225"/>
          <a:ext cx="1162050"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Horizontal</a:t>
          </a:r>
          <a:r>
            <a:rPr lang="en-AU" sz="900">
              <a:solidFill>
                <a:schemeClr val="tx1">
                  <a:lumMod val="65000"/>
                  <a:lumOff val="35000"/>
                </a:schemeClr>
              </a:solidFill>
            </a:rPr>
            <a:t> </a:t>
          </a:r>
          <a:r>
            <a:rPr lang="en-AU" sz="800">
              <a:solidFill>
                <a:schemeClr val="tx1">
                  <a:lumMod val="65000"/>
                  <a:lumOff val="35000"/>
                </a:schemeClr>
              </a:solidFill>
            </a:rPr>
            <a:t>Discharge</a:t>
          </a:r>
          <a:endParaRPr lang="en-AU" sz="900">
            <a:solidFill>
              <a:schemeClr val="tx1">
                <a:lumMod val="65000"/>
                <a:lumOff val="35000"/>
              </a:schemeClr>
            </a:solidFill>
          </a:endParaRPr>
        </a:p>
      </xdr:txBody>
    </xdr:sp>
    <xdr:clientData/>
  </xdr:twoCellAnchor>
  <xdr:twoCellAnchor>
    <xdr:from>
      <xdr:col>1</xdr:col>
      <xdr:colOff>1533525</xdr:colOff>
      <xdr:row>0</xdr:row>
      <xdr:rowOff>1666874</xdr:rowOff>
    </xdr:from>
    <xdr:to>
      <xdr:col>1</xdr:col>
      <xdr:colOff>2571750</xdr:colOff>
      <xdr:row>0</xdr:row>
      <xdr:rowOff>1866899</xdr:rowOff>
    </xdr:to>
    <xdr:sp macro="" textlink="">
      <xdr:nvSpPr>
        <xdr:cNvPr id="77" name="TextBox 76">
          <a:extLst>
            <a:ext uri="{FF2B5EF4-FFF2-40B4-BE49-F238E27FC236}">
              <a16:creationId xmlns:a16="http://schemas.microsoft.com/office/drawing/2014/main" id="{00000000-0008-0000-0500-00004D000000}"/>
            </a:ext>
          </a:extLst>
        </xdr:cNvPr>
        <xdr:cNvSpPr txBox="1"/>
      </xdr:nvSpPr>
      <xdr:spPr>
        <a:xfrm>
          <a:off x="11249025" y="15801974"/>
          <a:ext cx="10382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Vertical Discharge</a:t>
          </a:r>
        </a:p>
        <a:p>
          <a:endParaRPr lang="en-AU" sz="800">
            <a:solidFill>
              <a:schemeClr val="tx1">
                <a:lumMod val="65000"/>
                <a:lumOff val="35000"/>
              </a:schemeClr>
            </a:solidFill>
          </a:endParaRPr>
        </a:p>
      </xdr:txBody>
    </xdr:sp>
    <xdr:clientData/>
  </xdr:twoCellAnchor>
  <xdr:twoCellAnchor>
    <xdr:from>
      <xdr:col>1</xdr:col>
      <xdr:colOff>1409700</xdr:colOff>
      <xdr:row>3</xdr:row>
      <xdr:rowOff>285750</xdr:rowOff>
    </xdr:from>
    <xdr:to>
      <xdr:col>1</xdr:col>
      <xdr:colOff>2571750</xdr:colOff>
      <xdr:row>3</xdr:row>
      <xdr:rowOff>476250</xdr:rowOff>
    </xdr:to>
    <xdr:sp macro="" textlink="">
      <xdr:nvSpPr>
        <xdr:cNvPr id="78" name="TextBox 77">
          <a:extLst>
            <a:ext uri="{FF2B5EF4-FFF2-40B4-BE49-F238E27FC236}">
              <a16:creationId xmlns:a16="http://schemas.microsoft.com/office/drawing/2014/main" id="{00000000-0008-0000-0500-00004E000000}"/>
            </a:ext>
          </a:extLst>
        </xdr:cNvPr>
        <xdr:cNvSpPr txBox="1"/>
      </xdr:nvSpPr>
      <xdr:spPr>
        <a:xfrm>
          <a:off x="11125200" y="20993100"/>
          <a:ext cx="1162050"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Horizontal Discharge</a:t>
          </a:r>
        </a:p>
      </xdr:txBody>
    </xdr:sp>
    <xdr:clientData/>
  </xdr:twoCellAnchor>
  <xdr:twoCellAnchor>
    <xdr:from>
      <xdr:col>1</xdr:col>
      <xdr:colOff>1543050</xdr:colOff>
      <xdr:row>1</xdr:row>
      <xdr:rowOff>1676399</xdr:rowOff>
    </xdr:from>
    <xdr:to>
      <xdr:col>1</xdr:col>
      <xdr:colOff>2581275</xdr:colOff>
      <xdr:row>1</xdr:row>
      <xdr:rowOff>1876424</xdr:rowOff>
    </xdr:to>
    <xdr:sp macro="" textlink="">
      <xdr:nvSpPr>
        <xdr:cNvPr id="79" name="TextBox 78">
          <a:extLst>
            <a:ext uri="{FF2B5EF4-FFF2-40B4-BE49-F238E27FC236}">
              <a16:creationId xmlns:a16="http://schemas.microsoft.com/office/drawing/2014/main" id="{00000000-0008-0000-0500-00004F000000}"/>
            </a:ext>
          </a:extLst>
        </xdr:cNvPr>
        <xdr:cNvSpPr txBox="1"/>
      </xdr:nvSpPr>
      <xdr:spPr>
        <a:xfrm>
          <a:off x="11258550" y="18002249"/>
          <a:ext cx="10382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Vertical Discharge</a:t>
          </a:r>
        </a:p>
        <a:p>
          <a:endParaRPr lang="en-AU" sz="800">
            <a:solidFill>
              <a:schemeClr val="tx1">
                <a:lumMod val="65000"/>
                <a:lumOff val="35000"/>
              </a:schemeClr>
            </a:solidFill>
          </a:endParaRPr>
        </a:p>
      </xdr:txBody>
    </xdr:sp>
    <xdr:clientData/>
  </xdr:twoCellAnchor>
  <xdr:twoCellAnchor>
    <xdr:from>
      <xdr:col>1</xdr:col>
      <xdr:colOff>1400175</xdr:colOff>
      <xdr:row>2</xdr:row>
      <xdr:rowOff>295275</xdr:rowOff>
    </xdr:from>
    <xdr:to>
      <xdr:col>1</xdr:col>
      <xdr:colOff>2562225</xdr:colOff>
      <xdr:row>2</xdr:row>
      <xdr:rowOff>485775</xdr:rowOff>
    </xdr:to>
    <xdr:sp macro="" textlink="">
      <xdr:nvSpPr>
        <xdr:cNvPr id="80" name="TextBox 79">
          <a:extLst>
            <a:ext uri="{FF2B5EF4-FFF2-40B4-BE49-F238E27FC236}">
              <a16:creationId xmlns:a16="http://schemas.microsoft.com/office/drawing/2014/main" id="{00000000-0008-0000-0500-000050000000}"/>
            </a:ext>
          </a:extLst>
        </xdr:cNvPr>
        <xdr:cNvSpPr txBox="1"/>
      </xdr:nvSpPr>
      <xdr:spPr>
        <a:xfrm>
          <a:off x="11115675" y="18811875"/>
          <a:ext cx="1162050"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Horizontal Discharge</a:t>
          </a:r>
        </a:p>
      </xdr:txBody>
    </xdr:sp>
    <xdr:clientData/>
  </xdr:twoCellAnchor>
  <xdr:twoCellAnchor>
    <xdr:from>
      <xdr:col>1</xdr:col>
      <xdr:colOff>1533525</xdr:colOff>
      <xdr:row>2</xdr:row>
      <xdr:rowOff>1666874</xdr:rowOff>
    </xdr:from>
    <xdr:to>
      <xdr:col>1</xdr:col>
      <xdr:colOff>2571750</xdr:colOff>
      <xdr:row>2</xdr:row>
      <xdr:rowOff>1866899</xdr:rowOff>
    </xdr:to>
    <xdr:sp macro="" textlink="">
      <xdr:nvSpPr>
        <xdr:cNvPr id="81" name="TextBox 80">
          <a:extLst>
            <a:ext uri="{FF2B5EF4-FFF2-40B4-BE49-F238E27FC236}">
              <a16:creationId xmlns:a16="http://schemas.microsoft.com/office/drawing/2014/main" id="{00000000-0008-0000-0500-000051000000}"/>
            </a:ext>
          </a:extLst>
        </xdr:cNvPr>
        <xdr:cNvSpPr txBox="1"/>
      </xdr:nvSpPr>
      <xdr:spPr>
        <a:xfrm>
          <a:off x="11249025" y="20183474"/>
          <a:ext cx="10382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Vertical Discharge</a:t>
          </a:r>
        </a:p>
        <a:p>
          <a:endParaRPr lang="en-AU" sz="800">
            <a:solidFill>
              <a:schemeClr val="tx1">
                <a:lumMod val="65000"/>
                <a:lumOff val="35000"/>
              </a:schemeClr>
            </a:solidFill>
          </a:endParaRPr>
        </a:p>
      </xdr:txBody>
    </xdr:sp>
    <xdr:clientData/>
  </xdr:twoCellAnchor>
  <xdr:twoCellAnchor>
    <xdr:from>
      <xdr:col>1</xdr:col>
      <xdr:colOff>1409700</xdr:colOff>
      <xdr:row>1</xdr:row>
      <xdr:rowOff>304800</xdr:rowOff>
    </xdr:from>
    <xdr:to>
      <xdr:col>1</xdr:col>
      <xdr:colOff>2571750</xdr:colOff>
      <xdr:row>1</xdr:row>
      <xdr:rowOff>495300</xdr:rowOff>
    </xdr:to>
    <xdr:sp macro="" textlink="">
      <xdr:nvSpPr>
        <xdr:cNvPr id="82" name="TextBox 81">
          <a:extLst>
            <a:ext uri="{FF2B5EF4-FFF2-40B4-BE49-F238E27FC236}">
              <a16:creationId xmlns:a16="http://schemas.microsoft.com/office/drawing/2014/main" id="{00000000-0008-0000-0500-000052000000}"/>
            </a:ext>
          </a:extLst>
        </xdr:cNvPr>
        <xdr:cNvSpPr txBox="1"/>
      </xdr:nvSpPr>
      <xdr:spPr>
        <a:xfrm>
          <a:off x="11125200" y="16630650"/>
          <a:ext cx="1162050"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Horizontal Discharge</a:t>
          </a:r>
        </a:p>
      </xdr:txBody>
    </xdr:sp>
    <xdr:clientData/>
  </xdr:twoCellAnchor>
  <xdr:twoCellAnchor>
    <xdr:from>
      <xdr:col>1</xdr:col>
      <xdr:colOff>1543050</xdr:colOff>
      <xdr:row>3</xdr:row>
      <xdr:rowOff>1695449</xdr:rowOff>
    </xdr:from>
    <xdr:to>
      <xdr:col>1</xdr:col>
      <xdr:colOff>2581275</xdr:colOff>
      <xdr:row>3</xdr:row>
      <xdr:rowOff>1895474</xdr:rowOff>
    </xdr:to>
    <xdr:sp macro="" textlink="">
      <xdr:nvSpPr>
        <xdr:cNvPr id="83" name="TextBox 82">
          <a:extLst>
            <a:ext uri="{FF2B5EF4-FFF2-40B4-BE49-F238E27FC236}">
              <a16:creationId xmlns:a16="http://schemas.microsoft.com/office/drawing/2014/main" id="{00000000-0008-0000-0500-000053000000}"/>
            </a:ext>
          </a:extLst>
        </xdr:cNvPr>
        <xdr:cNvSpPr txBox="1"/>
      </xdr:nvSpPr>
      <xdr:spPr>
        <a:xfrm>
          <a:off x="11258550" y="22402799"/>
          <a:ext cx="10382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Vertical Discharge</a:t>
          </a:r>
        </a:p>
        <a:p>
          <a:endParaRPr lang="en-AU" sz="800">
            <a:solidFill>
              <a:schemeClr val="tx1">
                <a:lumMod val="65000"/>
                <a:lumOff val="35000"/>
              </a:schemeClr>
            </a:solidFill>
          </a:endParaRPr>
        </a:p>
      </xdr:txBody>
    </xdr:sp>
    <xdr:clientData/>
  </xdr:twoCellAnchor>
  <xdr:twoCellAnchor>
    <xdr:from>
      <xdr:col>1</xdr:col>
      <xdr:colOff>1409700</xdr:colOff>
      <xdr:row>4</xdr:row>
      <xdr:rowOff>285750</xdr:rowOff>
    </xdr:from>
    <xdr:to>
      <xdr:col>1</xdr:col>
      <xdr:colOff>2571750</xdr:colOff>
      <xdr:row>4</xdr:row>
      <xdr:rowOff>476250</xdr:rowOff>
    </xdr:to>
    <xdr:sp macro="" textlink="">
      <xdr:nvSpPr>
        <xdr:cNvPr id="84" name="TextBox 83">
          <a:extLst>
            <a:ext uri="{FF2B5EF4-FFF2-40B4-BE49-F238E27FC236}">
              <a16:creationId xmlns:a16="http://schemas.microsoft.com/office/drawing/2014/main" id="{00000000-0008-0000-0500-000054000000}"/>
            </a:ext>
          </a:extLst>
        </xdr:cNvPr>
        <xdr:cNvSpPr txBox="1"/>
      </xdr:nvSpPr>
      <xdr:spPr>
        <a:xfrm>
          <a:off x="11125200" y="23183850"/>
          <a:ext cx="1162050"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Horizontal Discharge</a:t>
          </a:r>
        </a:p>
      </xdr:txBody>
    </xdr:sp>
    <xdr:clientData/>
  </xdr:twoCellAnchor>
  <xdr:twoCellAnchor>
    <xdr:from>
      <xdr:col>1</xdr:col>
      <xdr:colOff>1543050</xdr:colOff>
      <xdr:row>4</xdr:row>
      <xdr:rowOff>1666874</xdr:rowOff>
    </xdr:from>
    <xdr:to>
      <xdr:col>1</xdr:col>
      <xdr:colOff>2581275</xdr:colOff>
      <xdr:row>4</xdr:row>
      <xdr:rowOff>1866899</xdr:rowOff>
    </xdr:to>
    <xdr:sp macro="" textlink="">
      <xdr:nvSpPr>
        <xdr:cNvPr id="85" name="TextBox 84">
          <a:extLst>
            <a:ext uri="{FF2B5EF4-FFF2-40B4-BE49-F238E27FC236}">
              <a16:creationId xmlns:a16="http://schemas.microsoft.com/office/drawing/2014/main" id="{00000000-0008-0000-0500-000055000000}"/>
            </a:ext>
          </a:extLst>
        </xdr:cNvPr>
        <xdr:cNvSpPr txBox="1"/>
      </xdr:nvSpPr>
      <xdr:spPr>
        <a:xfrm>
          <a:off x="11258550" y="24564974"/>
          <a:ext cx="1038225" cy="2000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r"/>
          <a:r>
            <a:rPr lang="en-AU" sz="800">
              <a:solidFill>
                <a:schemeClr val="tx1">
                  <a:lumMod val="65000"/>
                  <a:lumOff val="35000"/>
                </a:schemeClr>
              </a:solidFill>
            </a:rPr>
            <a:t>Vertical Discharge</a:t>
          </a:r>
        </a:p>
        <a:p>
          <a:endParaRPr lang="en-AU" sz="800">
            <a:solidFill>
              <a:schemeClr val="tx1">
                <a:lumMod val="65000"/>
                <a:lumOff val="35000"/>
              </a:schemeClr>
            </a:solidFill>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709614</xdr:colOff>
          <xdr:row>13</xdr:row>
          <xdr:rowOff>7658</xdr:rowOff>
        </xdr:from>
        <xdr:to>
          <xdr:col>6</xdr:col>
          <xdr:colOff>359569</xdr:colOff>
          <xdr:row>24</xdr:row>
          <xdr:rowOff>149800</xdr:rowOff>
        </xdr:to>
        <xdr:pic>
          <xdr:nvPicPr>
            <xdr:cNvPr id="22" name="Picture 21">
              <a:extLst>
                <a:ext uri="{FF2B5EF4-FFF2-40B4-BE49-F238E27FC236}">
                  <a16:creationId xmlns:a16="http://schemas.microsoft.com/office/drawing/2014/main" id="{00000000-0008-0000-0700-000016000000}"/>
                </a:ext>
              </a:extLst>
            </xdr:cNvPr>
            <xdr:cNvPicPr>
              <a:picLocks noChangeAspect="1"/>
              <a:extLst>
                <a:ext uri="{84589F7E-364E-4C9E-8A38-B11213B215E9}">
                  <a14:cameraTool cellRange="getChart" spid="_x0000_s4812"/>
                </a:ext>
              </a:extLst>
            </xdr:cNvPicPr>
          </xdr:nvPicPr>
          <xdr:blipFill>
            <a:blip xmlns:r="http://schemas.openxmlformats.org/officeDocument/2006/relationships" r:embed="rId1"/>
            <a:stretch>
              <a:fillRect/>
            </a:stretch>
          </xdr:blipFill>
          <xdr:spPr>
            <a:xfrm>
              <a:off x="3014664" y="2541308"/>
              <a:ext cx="3145630" cy="2080480"/>
            </a:xfrm>
            <a:prstGeom prst="rect">
              <a:avLst/>
            </a:prstGeom>
            <a:ln>
              <a:noFill/>
            </a:ln>
          </xdr:spPr>
        </xdr:pic>
        <xdr:clientData/>
      </xdr:twoCellAnchor>
    </mc:Choice>
    <mc:Fallback/>
  </mc:AlternateContent>
  <xdr:twoCellAnchor editAs="oneCell">
    <xdr:from>
      <xdr:col>0</xdr:col>
      <xdr:colOff>0</xdr:colOff>
      <xdr:row>0</xdr:row>
      <xdr:rowOff>57981</xdr:rowOff>
    </xdr:from>
    <xdr:to>
      <xdr:col>1</xdr:col>
      <xdr:colOff>62165</xdr:colOff>
      <xdr:row>0</xdr:row>
      <xdr:rowOff>375406</xdr:rowOff>
    </xdr:to>
    <xdr:pic>
      <xdr:nvPicPr>
        <xdr:cNvPr id="16" name="Picture 15">
          <a:extLst>
            <a:ext uri="{FF2B5EF4-FFF2-40B4-BE49-F238E27FC236}">
              <a16:creationId xmlns:a16="http://schemas.microsoft.com/office/drawing/2014/main" id="{00000000-0008-0000-0700-000010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57981"/>
          <a:ext cx="1652840" cy="317425"/>
        </a:xfrm>
        <a:prstGeom prst="rect">
          <a:avLst/>
        </a:prstGeom>
      </xdr:spPr>
    </xdr:pic>
    <xdr:clientData/>
  </xdr:twoCellAnchor>
  <xdr:twoCellAnchor editAs="oneCell">
    <xdr:from>
      <xdr:col>3</xdr:col>
      <xdr:colOff>1475436</xdr:colOff>
      <xdr:row>3</xdr:row>
      <xdr:rowOff>118066</xdr:rowOff>
    </xdr:from>
    <xdr:to>
      <xdr:col>6</xdr:col>
      <xdr:colOff>111345</xdr:colOff>
      <xdr:row>9</xdr:row>
      <xdr:rowOff>93210</xdr:rowOff>
    </xdr:to>
    <xdr:pic>
      <xdr:nvPicPr>
        <xdr:cNvPr id="17" name="Picture 16">
          <a:extLst>
            <a:ext uri="{FF2B5EF4-FFF2-40B4-BE49-F238E27FC236}">
              <a16:creationId xmlns:a16="http://schemas.microsoft.com/office/drawing/2014/main" id="{00000000-0008-0000-0700-000011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rot="2344165">
          <a:off x="4494861" y="889591"/>
          <a:ext cx="1417209" cy="1032419"/>
        </a:xfrm>
        <a:prstGeom prst="rect">
          <a:avLst/>
        </a:prstGeom>
      </xdr:spPr>
    </xdr:pic>
    <xdr:clientData/>
  </xdr:twoCellAnchor>
  <xdr:twoCellAnchor>
    <xdr:from>
      <xdr:col>0</xdr:col>
      <xdr:colOff>725979</xdr:colOff>
      <xdr:row>28</xdr:row>
      <xdr:rowOff>131735</xdr:rowOff>
    </xdr:from>
    <xdr:to>
      <xdr:col>5</xdr:col>
      <xdr:colOff>640709</xdr:colOff>
      <xdr:row>38</xdr:row>
      <xdr:rowOff>33339</xdr:rowOff>
    </xdr:to>
    <xdr:grpSp>
      <xdr:nvGrpSpPr>
        <xdr:cNvPr id="8" name="Group 7">
          <a:extLst>
            <a:ext uri="{FF2B5EF4-FFF2-40B4-BE49-F238E27FC236}">
              <a16:creationId xmlns:a16="http://schemas.microsoft.com/office/drawing/2014/main" id="{00000000-0008-0000-0700-000008000000}"/>
            </a:ext>
          </a:extLst>
        </xdr:cNvPr>
        <xdr:cNvGrpSpPr/>
      </xdr:nvGrpSpPr>
      <xdr:grpSpPr>
        <a:xfrm>
          <a:off x="725979" y="5308573"/>
          <a:ext cx="5072517" cy="1663729"/>
          <a:chOff x="5336090" y="5765773"/>
          <a:chExt cx="5491617" cy="1663728"/>
        </a:xfrm>
      </xdr:grpSpPr>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l="23774" t="68729" r="36689" b="1003"/>
          <a:stretch/>
        </xdr:blipFill>
        <xdr:spPr>
          <a:xfrm>
            <a:off x="8300337" y="6114816"/>
            <a:ext cx="2527370" cy="1287924"/>
          </a:xfrm>
          <a:prstGeom prst="rect">
            <a:avLst/>
          </a:prstGeom>
        </xdr:spPr>
      </xdr:pic>
      <xdr:sp macro="" textlink="'HSC-AD data'!B126">
        <xdr:nvSpPr>
          <xdr:cNvPr id="3" name="TextBox 2">
            <a:extLst>
              <a:ext uri="{FF2B5EF4-FFF2-40B4-BE49-F238E27FC236}">
                <a16:creationId xmlns:a16="http://schemas.microsoft.com/office/drawing/2014/main" id="{00000000-0008-0000-0700-000003000000}"/>
              </a:ext>
            </a:extLst>
          </xdr:cNvPr>
          <xdr:cNvSpPr txBox="1"/>
        </xdr:nvSpPr>
        <xdr:spPr>
          <a:xfrm>
            <a:off x="8523665" y="5765773"/>
            <a:ext cx="2294364" cy="1498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C68F387-26B3-45AC-8C17-A3F91D5A2ECF}" type="TxLink">
              <a:rPr lang="en-US" sz="1000" b="0" i="0" u="none" strike="noStrike">
                <a:solidFill>
                  <a:srgbClr val="000000"/>
                </a:solidFill>
                <a:latin typeface="Times New Roman" panose="02020603050405020304" pitchFamily="18" charset="0"/>
                <a:cs typeface="Times New Roman" panose="02020603050405020304" pitchFamily="18" charset="0"/>
              </a:rPr>
              <a:pPr algn="ctr"/>
              <a:t>C Max = 14.9 m</a:t>
            </a:fld>
            <a:endParaRPr lang="en-AU" sz="1000">
              <a:latin typeface="Times New Roman" panose="02020603050405020304" pitchFamily="18" charset="0"/>
              <a:cs typeface="Times New Roman" panose="02020603050405020304" pitchFamily="18" charset="0"/>
            </a:endParaRPr>
          </a:p>
        </xdr:txBody>
      </xdr:sp>
      <xdr:sp macro="" textlink="'HSC-AD data'!B127">
        <xdr:nvSpPr>
          <xdr:cNvPr id="4" name="TextBox 3">
            <a:extLst>
              <a:ext uri="{FF2B5EF4-FFF2-40B4-BE49-F238E27FC236}">
                <a16:creationId xmlns:a16="http://schemas.microsoft.com/office/drawing/2014/main" id="{00000000-0008-0000-0700-000004000000}"/>
              </a:ext>
            </a:extLst>
          </xdr:cNvPr>
          <xdr:cNvSpPr txBox="1"/>
        </xdr:nvSpPr>
        <xdr:spPr>
          <a:xfrm>
            <a:off x="8530221" y="5897051"/>
            <a:ext cx="2287810" cy="14983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FCD74249-E139-4D7D-BDB3-84B191A4B9D2}" type="TxLink">
              <a:rPr lang="en-US" sz="1000" b="0" i="0" u="none" strike="noStrike">
                <a:solidFill>
                  <a:srgbClr val="000000"/>
                </a:solidFill>
                <a:latin typeface="Times New Roman" panose="02020603050405020304" pitchFamily="18" charset="0"/>
                <a:cs typeface="Times New Roman" panose="02020603050405020304" pitchFamily="18" charset="0"/>
              </a:rPr>
              <a:pPr algn="ctr"/>
              <a:t>C Min = 5.5 m</a:t>
            </a:fld>
            <a:endParaRPr lang="en-AU" sz="1000">
              <a:latin typeface="Times New Roman" panose="02020603050405020304" pitchFamily="18" charset="0"/>
              <a:cs typeface="Times New Roman" panose="02020603050405020304" pitchFamily="18" charset="0"/>
            </a:endParaRPr>
          </a:p>
        </xdr:txBody>
      </xdr:sp>
      <xdr:sp macro="" textlink="'HSC-AD data'!B128">
        <xdr:nvSpPr>
          <xdr:cNvPr id="5" name="TextBox 4">
            <a:extLst>
              <a:ext uri="{FF2B5EF4-FFF2-40B4-BE49-F238E27FC236}">
                <a16:creationId xmlns:a16="http://schemas.microsoft.com/office/drawing/2014/main" id="{00000000-0008-0000-0700-000005000000}"/>
              </a:ext>
            </a:extLst>
          </xdr:cNvPr>
          <xdr:cNvSpPr txBox="1"/>
        </xdr:nvSpPr>
        <xdr:spPr>
          <a:xfrm>
            <a:off x="8530221" y="6028934"/>
            <a:ext cx="2294365" cy="1392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6E05312D-DCB0-4465-989A-32B9C6366F8E}" type="TxLink">
              <a:rPr lang="en-US" sz="1000" b="0" i="0" u="none" strike="noStrike">
                <a:solidFill>
                  <a:srgbClr val="000000"/>
                </a:solidFill>
                <a:latin typeface="Times New Roman" panose="02020603050405020304" pitchFamily="18" charset="0"/>
                <a:cs typeface="Times New Roman" panose="02020603050405020304" pitchFamily="18" charset="0"/>
              </a:rPr>
              <a:pPr algn="ctr"/>
              <a:t>Average C = 10.1 m</a:t>
            </a:fld>
            <a:endParaRPr lang="en-AU" sz="1000">
              <a:latin typeface="Times New Roman" panose="02020603050405020304" pitchFamily="18" charset="0"/>
              <a:cs typeface="Times New Roman" panose="02020603050405020304" pitchFamily="18" charset="0"/>
            </a:endParaRPr>
          </a:p>
        </xdr:txBody>
      </xdr:sp>
      <xdr:sp macro="" textlink="'HSC-AD data'!B115">
        <xdr:nvSpPr>
          <xdr:cNvPr id="6" name="TextBox 5">
            <a:extLst>
              <a:ext uri="{FF2B5EF4-FFF2-40B4-BE49-F238E27FC236}">
                <a16:creationId xmlns:a16="http://schemas.microsoft.com/office/drawing/2014/main" id="{00000000-0008-0000-0700-000006000000}"/>
              </a:ext>
            </a:extLst>
          </xdr:cNvPr>
          <xdr:cNvSpPr txBox="1"/>
        </xdr:nvSpPr>
        <xdr:spPr>
          <a:xfrm>
            <a:off x="5336090" y="6891029"/>
            <a:ext cx="3105474" cy="1801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03B7CA91-9F27-428B-A6CA-C107CF5F93CF}" type="TxLink">
              <a:rPr lang="en-US" sz="1000" b="0" i="0" u="none" strike="noStrike">
                <a:solidFill>
                  <a:srgbClr val="000000"/>
                </a:solidFill>
                <a:latin typeface="Times New Roman" panose="02020603050405020304" pitchFamily="18" charset="0"/>
                <a:cs typeface="Times New Roman" panose="02020603050405020304" pitchFamily="18" charset="0"/>
              </a:rPr>
              <a:pPr algn="r"/>
              <a:t>Min Recommended Diffuser Height = 4.4 m</a:t>
            </a:fld>
            <a:endParaRPr lang="en-AU" sz="1000">
              <a:latin typeface="Times New Roman" panose="02020603050405020304" pitchFamily="18" charset="0"/>
              <a:cs typeface="Times New Roman" panose="02020603050405020304" pitchFamily="18" charset="0"/>
            </a:endParaRPr>
          </a:p>
        </xdr:txBody>
      </xdr:sp>
      <xdr:sp macro="" textlink="'HSC-AD data'!B129">
        <xdr:nvSpPr>
          <xdr:cNvPr id="7" name="TextBox 6">
            <a:extLst>
              <a:ext uri="{FF2B5EF4-FFF2-40B4-BE49-F238E27FC236}">
                <a16:creationId xmlns:a16="http://schemas.microsoft.com/office/drawing/2014/main" id="{00000000-0008-0000-0700-000007000000}"/>
              </a:ext>
            </a:extLst>
          </xdr:cNvPr>
          <xdr:cNvSpPr txBox="1"/>
        </xdr:nvSpPr>
        <xdr:spPr>
          <a:xfrm>
            <a:off x="8911910" y="6815139"/>
            <a:ext cx="1463805" cy="6143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fld id="{0D1C0429-8E41-468B-86DA-08F8A59952BE}" type="TxLink">
              <a:rPr lang="en-US" sz="1000" b="0" i="0" u="none" strike="noStrike">
                <a:solidFill>
                  <a:srgbClr val="000000"/>
                </a:solidFill>
                <a:latin typeface="Times New Roman" panose="02020603050405020304" pitchFamily="18" charset="0"/>
                <a:cs typeface="Times New Roman" panose="02020603050405020304" pitchFamily="18" charset="0"/>
              </a:rPr>
              <a:pPr algn="ctr"/>
              <a:t>Specific Airflow Rate @ Average C = 10.1 m: 5.9 L/s/m²</a:t>
            </a:fld>
            <a:endParaRPr lang="en-AU" sz="1000">
              <a:latin typeface="Times New Roman" panose="02020603050405020304" pitchFamily="18" charset="0"/>
              <a:cs typeface="Times New Roman" panose="02020603050405020304" pitchFamily="18" charset="0"/>
            </a:endParaRPr>
          </a:p>
        </xdr:txBody>
      </xdr:sp>
      <xdr:sp macro="" textlink="">
        <xdr:nvSpPr>
          <xdr:cNvPr id="14" name="TextBox 13">
            <a:extLst>
              <a:ext uri="{FF2B5EF4-FFF2-40B4-BE49-F238E27FC236}">
                <a16:creationId xmlns:a16="http://schemas.microsoft.com/office/drawing/2014/main" id="{00000000-0008-0000-0700-00000E000000}"/>
              </a:ext>
            </a:extLst>
          </xdr:cNvPr>
          <xdr:cNvSpPr txBox="1"/>
        </xdr:nvSpPr>
        <xdr:spPr>
          <a:xfrm>
            <a:off x="8678638" y="5791208"/>
            <a:ext cx="283526" cy="46499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AU" sz="1000" u="sng">
                <a:latin typeface="Times New Roman" panose="02020603050405020304" pitchFamily="18" charset="0"/>
                <a:cs typeface="Times New Roman" panose="02020603050405020304" pitchFamily="18" charset="0"/>
              </a:rPr>
              <a:t>C</a:t>
            </a:r>
            <a:r>
              <a:rPr lang="en-AU" sz="1000">
                <a:latin typeface="Times New Roman" panose="02020603050405020304" pitchFamily="18" charset="0"/>
                <a:cs typeface="Times New Roman" panose="02020603050405020304" pitchFamily="18" charset="0"/>
              </a:rPr>
              <a:t>2</a:t>
            </a:r>
          </a:p>
        </xdr:txBody>
      </xdr:sp>
      <xdr:sp macro="" textlink="'HSC-AD data'!B116">
        <xdr:nvSpPr>
          <xdr:cNvPr id="18" name="TextBox 17">
            <a:extLst>
              <a:ext uri="{FF2B5EF4-FFF2-40B4-BE49-F238E27FC236}">
                <a16:creationId xmlns:a16="http://schemas.microsoft.com/office/drawing/2014/main" id="{00000000-0008-0000-0700-000012000000}"/>
              </a:ext>
            </a:extLst>
          </xdr:cNvPr>
          <xdr:cNvSpPr txBox="1"/>
        </xdr:nvSpPr>
        <xdr:spPr>
          <a:xfrm>
            <a:off x="5809369" y="6700232"/>
            <a:ext cx="2632197" cy="18857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r"/>
            <a:fld id="{C885D867-A499-4AE7-8B82-F6F67699DB6C}" type="TxLink">
              <a:rPr lang="en-US" sz="1000" b="0" i="0" u="none" strike="noStrike">
                <a:solidFill>
                  <a:srgbClr val="000000"/>
                </a:solidFill>
                <a:latin typeface="Times New Roman" panose="02020603050405020304" pitchFamily="18" charset="0"/>
                <a:cs typeface="Times New Roman" panose="02020603050405020304" pitchFamily="18" charset="0"/>
              </a:rPr>
              <a:pPr algn="r"/>
              <a:t>Selected Diffuser Height = 6 m</a:t>
            </a:fld>
            <a:endParaRPr lang="en-AU" sz="1000">
              <a:latin typeface="Times New Roman" panose="02020603050405020304" pitchFamily="18" charset="0"/>
              <a:cs typeface="Times New Roman" panose="02020603050405020304" pitchFamily="18" charset="0"/>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114301</xdr:colOff>
      <xdr:row>0</xdr:row>
      <xdr:rowOff>57150</xdr:rowOff>
    </xdr:from>
    <xdr:to>
      <xdr:col>11</xdr:col>
      <xdr:colOff>419101</xdr:colOff>
      <xdr:row>24</xdr:row>
      <xdr:rowOff>152400</xdr:rowOff>
    </xdr:to>
    <xdr:sp macro="" textlink="">
      <xdr:nvSpPr>
        <xdr:cNvPr id="2" name="TextBox 1">
          <a:extLst>
            <a:ext uri="{FF2B5EF4-FFF2-40B4-BE49-F238E27FC236}">
              <a16:creationId xmlns:a16="http://schemas.microsoft.com/office/drawing/2014/main" id="{00000000-0008-0000-0800-000002000000}"/>
            </a:ext>
          </a:extLst>
        </xdr:cNvPr>
        <xdr:cNvSpPr txBox="1"/>
      </xdr:nvSpPr>
      <xdr:spPr>
        <a:xfrm>
          <a:off x="114301" y="57150"/>
          <a:ext cx="7429500" cy="44386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AU" sz="1100"/>
            <a:t>Furnish and install SMARTEMP® Adjustable Helical Swirl Diffusers, type HSC-AD, to provide diffuse airflow with adjustable horizontal-to-vertical discharge direction for high thermal comfort from elevated discharge heights. Each diffuser is to be made of powder coated steel and shall include 20 off-set radial vanes flush with the horizontal diffuser face. The diffuser face is to be square (up to neck size DN500 only) or circular, as specified. The diffuser is to be installed substantially flush</a:t>
          </a:r>
        </a:p>
        <a:p>
          <a:pPr algn="just"/>
          <a:r>
            <a:rPr lang="en-AU" sz="1100"/>
            <a:t>with the suspended false ceiling or freely suspended, as specified.</a:t>
          </a:r>
        </a:p>
        <a:p>
          <a:pPr algn="just"/>
          <a:endParaRPr lang="en-AU" sz="1100"/>
        </a:p>
        <a:p>
          <a:pPr algn="just"/>
          <a:r>
            <a:rPr lang="en-AU" sz="1100"/>
            <a:t>Swirl vanes are to include cambered leading edges for reduced noise and pressure drop, and the helical swirl vane tips are each to incorporate a geometric twist for increased downward discharge penetration and reduced minimum airflow rates. An internal adjustable guide ring with 20 geometrically twisted guide vanes is to provide constant pressure discharge direction adjustment.</a:t>
          </a:r>
        </a:p>
        <a:p>
          <a:pPr algn="just"/>
          <a:endParaRPr lang="en-AU" sz="1100"/>
        </a:p>
        <a:p>
          <a:pPr algn="just"/>
          <a:r>
            <a:rPr lang="en-AU" sz="1100"/>
            <a:t>The guide ring is to be adjusted manually, electrically or thermally, as specified and in accordance with SMARTEMP guidelines. The latter two each attach as a kit to an included control module, which is optionally available for manual adjustment. Diffuser neck size is to be DN250, DN355, DN500 or DN710, as required. The diffuser is to incorporate the optional reducer and reduced guide ring, where appropriate. Diffuser discharge height of 2.5 to 15 m to be inaccordance with SMARTEMP's recommendations for the duty required.</a:t>
          </a:r>
        </a:p>
        <a:p>
          <a:pPr algn="just"/>
          <a:endParaRPr lang="en-AU" sz="1100"/>
        </a:p>
        <a:p>
          <a:pPr algn="just"/>
          <a:r>
            <a:rPr lang="en-AU" sz="1100"/>
            <a:t>Cooling with horizontal discharge direction to be at no less than </a:t>
          </a:r>
          <a:r>
            <a:rPr lang="el-GR" sz="1100"/>
            <a:t>Δ</a:t>
          </a:r>
          <a:r>
            <a:rPr lang="en-AU" sz="1100"/>
            <a:t>Tsupply-room = -13 K. For heating applications, provide downward discharge and control maximum </a:t>
          </a:r>
          <a:r>
            <a:rPr lang="el-GR" sz="1100"/>
            <a:t>Δ</a:t>
          </a:r>
          <a:r>
            <a:rPr lang="en-AU" sz="1100"/>
            <a:t>Tsupply-room no t to exceed the maximum per missible heating temperature differential prescribed by SMARTEMP for the selected diffuser, airflow rate and discharge height.</a:t>
          </a:r>
        </a:p>
        <a:p>
          <a:pPr algn="just"/>
          <a:endParaRPr lang="en-AU" sz="1100"/>
        </a:p>
        <a:p>
          <a:pPr algn="just"/>
          <a:r>
            <a:rPr lang="en-AU" sz="1100"/>
            <a:t>Where specified, each diffuser is to be connected to a side-entry sheet-metal connections box, internally insulated where indicated, fabricated in accordance with SMARTEMP's recommendations. Alternatively, each diffuser is to be connected to a vertical duct of internal diameter equal to the diffuser DN size and at least one duct diameter in length. </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26" Type="http://schemas.openxmlformats.org/officeDocument/2006/relationships/ctrlProp" Target="../ctrlProps/ctrlProp22.xml"/><Relationship Id="rId39" Type="http://schemas.openxmlformats.org/officeDocument/2006/relationships/ctrlProp" Target="../ctrlProps/ctrlProp35.xml"/><Relationship Id="rId3" Type="http://schemas.openxmlformats.org/officeDocument/2006/relationships/drawing" Target="../drawings/drawing1.xml"/><Relationship Id="rId21" Type="http://schemas.openxmlformats.org/officeDocument/2006/relationships/ctrlProp" Target="../ctrlProps/ctrlProp17.xml"/><Relationship Id="rId34" Type="http://schemas.openxmlformats.org/officeDocument/2006/relationships/ctrlProp" Target="../ctrlProps/ctrlProp30.xml"/><Relationship Id="rId42" Type="http://schemas.openxmlformats.org/officeDocument/2006/relationships/ctrlProp" Target="../ctrlProps/ctrlProp38.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5" Type="http://schemas.openxmlformats.org/officeDocument/2006/relationships/ctrlProp" Target="../ctrlProps/ctrlProp21.xml"/><Relationship Id="rId33" Type="http://schemas.openxmlformats.org/officeDocument/2006/relationships/ctrlProp" Target="../ctrlProps/ctrlProp29.xml"/><Relationship Id="rId38" Type="http://schemas.openxmlformats.org/officeDocument/2006/relationships/ctrlProp" Target="../ctrlProps/ctrlProp34.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29" Type="http://schemas.openxmlformats.org/officeDocument/2006/relationships/ctrlProp" Target="../ctrlProps/ctrlProp25.xml"/><Relationship Id="rId41" Type="http://schemas.openxmlformats.org/officeDocument/2006/relationships/ctrlProp" Target="../ctrlProps/ctrlProp37.xml"/><Relationship Id="rId1" Type="http://schemas.openxmlformats.org/officeDocument/2006/relationships/hyperlink" Target="http://www.smartair.asia/product/87"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trlProp" Target="../ctrlProps/ctrlProp20.xml"/><Relationship Id="rId32" Type="http://schemas.openxmlformats.org/officeDocument/2006/relationships/ctrlProp" Target="../ctrlProps/ctrlProp28.xml"/><Relationship Id="rId37" Type="http://schemas.openxmlformats.org/officeDocument/2006/relationships/ctrlProp" Target="../ctrlProps/ctrlProp33.xml"/><Relationship Id="rId40" Type="http://schemas.openxmlformats.org/officeDocument/2006/relationships/ctrlProp" Target="../ctrlProps/ctrlProp36.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28" Type="http://schemas.openxmlformats.org/officeDocument/2006/relationships/ctrlProp" Target="../ctrlProps/ctrlProp24.xml"/><Relationship Id="rId36" Type="http://schemas.openxmlformats.org/officeDocument/2006/relationships/ctrlProp" Target="../ctrlProps/ctrlProp32.xml"/><Relationship Id="rId10" Type="http://schemas.openxmlformats.org/officeDocument/2006/relationships/ctrlProp" Target="../ctrlProps/ctrlProp6.xml"/><Relationship Id="rId19" Type="http://schemas.openxmlformats.org/officeDocument/2006/relationships/ctrlProp" Target="../ctrlProps/ctrlProp15.xml"/><Relationship Id="rId31" Type="http://schemas.openxmlformats.org/officeDocument/2006/relationships/ctrlProp" Target="../ctrlProps/ctrlProp27.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 Id="rId27" Type="http://schemas.openxmlformats.org/officeDocument/2006/relationships/ctrlProp" Target="../ctrlProps/ctrlProp23.xml"/><Relationship Id="rId30" Type="http://schemas.openxmlformats.org/officeDocument/2006/relationships/ctrlProp" Target="../ctrlProps/ctrlProp26.xml"/><Relationship Id="rId35" Type="http://schemas.openxmlformats.org/officeDocument/2006/relationships/ctrlProp" Target="../ctrlProps/ctrlProp3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79998168889431442"/>
    <pageSetUpPr autoPageBreaks="0"/>
  </sheetPr>
  <dimension ref="B1:Y74"/>
  <sheetViews>
    <sheetView tabSelected="1" topLeftCell="A4" zoomScale="85" zoomScaleNormal="85" workbookViewId="0">
      <selection activeCell="E9" sqref="E9"/>
    </sheetView>
  </sheetViews>
  <sheetFormatPr defaultRowHeight="14.25"/>
  <cols>
    <col min="1" max="1" width="3.73046875" customWidth="1"/>
    <col min="2" max="2" width="4.73046875" customWidth="1"/>
    <col min="3" max="3" width="11.73046875" customWidth="1"/>
    <col min="4" max="4" width="13.73046875" customWidth="1"/>
    <col min="5" max="5" width="15.06640625" customWidth="1"/>
    <col min="6" max="14" width="13.06640625" customWidth="1"/>
    <col min="15" max="15" width="12.265625" customWidth="1"/>
    <col min="16" max="16" width="12.265625" hidden="1" customWidth="1"/>
    <col min="17" max="17" width="10.73046875" customWidth="1"/>
    <col min="19" max="19" width="9.796875" customWidth="1"/>
    <col min="20" max="20" width="11" customWidth="1"/>
    <col min="21" max="21" width="10" customWidth="1"/>
    <col min="25" max="25" width="9.33203125" customWidth="1"/>
  </cols>
  <sheetData>
    <row r="1" spans="2:25">
      <c r="B1" s="1"/>
      <c r="C1" s="2"/>
      <c r="D1" s="3"/>
      <c r="E1" s="3"/>
      <c r="F1" s="3"/>
      <c r="G1" s="3"/>
      <c r="H1" s="3"/>
      <c r="I1" s="3"/>
      <c r="J1" s="3"/>
      <c r="K1" s="3"/>
      <c r="L1" s="3"/>
      <c r="M1" s="3"/>
      <c r="N1" s="3"/>
      <c r="O1" s="3"/>
      <c r="P1" s="4"/>
      <c r="Q1" s="4"/>
      <c r="R1" s="4"/>
      <c r="S1" s="4"/>
      <c r="T1" s="4"/>
      <c r="U1" s="4"/>
      <c r="V1" s="4"/>
      <c r="W1" s="4"/>
      <c r="X1" s="4"/>
      <c r="Y1" s="5"/>
    </row>
    <row r="2" spans="2:25" ht="21">
      <c r="B2" s="6"/>
      <c r="C2" s="7" t="s">
        <v>12</v>
      </c>
      <c r="D2" s="8"/>
      <c r="E2" s="4"/>
      <c r="F2" s="4"/>
      <c r="G2" s="4"/>
      <c r="H2" s="4"/>
      <c r="I2" s="8"/>
      <c r="J2" s="8"/>
      <c r="K2" s="8"/>
      <c r="L2" s="8"/>
      <c r="M2" s="4"/>
      <c r="N2" s="8"/>
      <c r="O2" s="8"/>
      <c r="P2" s="8"/>
      <c r="Q2" s="8"/>
      <c r="R2" s="8"/>
      <c r="S2" s="8"/>
      <c r="T2" s="8"/>
      <c r="U2" s="8"/>
      <c r="V2" s="8"/>
      <c r="W2" s="8"/>
      <c r="X2" s="8"/>
      <c r="Y2" s="9"/>
    </row>
    <row r="3" spans="2:25" ht="21">
      <c r="B3" s="6"/>
      <c r="C3" s="10" t="s">
        <v>19</v>
      </c>
      <c r="D3" s="8"/>
      <c r="E3" s="4"/>
      <c r="F3" s="4"/>
      <c r="G3" s="4"/>
      <c r="H3" s="4"/>
      <c r="I3" s="8"/>
      <c r="J3" s="8"/>
      <c r="K3" s="8"/>
      <c r="L3" s="8"/>
      <c r="M3" s="4"/>
      <c r="N3" s="8"/>
      <c r="O3" s="8"/>
      <c r="P3" s="8"/>
      <c r="Q3" s="8"/>
      <c r="R3" s="8"/>
      <c r="S3" s="8"/>
      <c r="T3" s="8"/>
      <c r="U3" s="8"/>
      <c r="V3" s="8"/>
      <c r="W3" s="8"/>
      <c r="X3" s="8"/>
      <c r="Y3" s="9"/>
    </row>
    <row r="4" spans="2:25" ht="22.5">
      <c r="B4" s="6"/>
      <c r="C4" s="11"/>
      <c r="D4" s="12"/>
      <c r="E4" s="4"/>
      <c r="F4" s="4"/>
      <c r="G4" s="4"/>
      <c r="H4" s="4"/>
      <c r="I4" s="4"/>
      <c r="J4" s="4"/>
      <c r="K4" s="4"/>
      <c r="L4" s="4"/>
      <c r="M4" s="4"/>
      <c r="N4" s="4"/>
      <c r="O4" s="4"/>
      <c r="P4" s="4"/>
      <c r="Q4" s="4"/>
      <c r="R4" s="4"/>
      <c r="S4" s="4"/>
      <c r="T4" s="4"/>
      <c r="U4" s="4"/>
      <c r="V4" s="4"/>
      <c r="W4" s="4"/>
      <c r="X4" s="4"/>
      <c r="Y4" s="5"/>
    </row>
    <row r="5" spans="2:25" ht="24" customHeight="1">
      <c r="B5" s="218"/>
      <c r="C5" s="219" t="s">
        <v>210</v>
      </c>
      <c r="D5" s="347" t="s">
        <v>260</v>
      </c>
      <c r="E5" s="347"/>
      <c r="F5" s="347"/>
      <c r="G5" s="347"/>
      <c r="H5" s="347"/>
      <c r="I5" s="64"/>
      <c r="J5" s="64"/>
      <c r="K5" s="64"/>
      <c r="L5" s="64"/>
      <c r="M5" s="64"/>
      <c r="N5" s="64"/>
      <c r="O5" s="64"/>
      <c r="P5" s="64"/>
      <c r="Q5" s="64"/>
      <c r="R5" s="64"/>
      <c r="S5" s="64"/>
      <c r="T5" s="64"/>
      <c r="U5" s="64"/>
      <c r="V5" s="64"/>
      <c r="W5" s="64"/>
      <c r="X5" s="64"/>
      <c r="Y5" s="65"/>
    </row>
    <row r="6" spans="2:25" ht="9.75" customHeight="1">
      <c r="B6" s="218"/>
      <c r="C6" s="222"/>
      <c r="D6" s="220"/>
      <c r="E6" s="220"/>
      <c r="F6" s="220"/>
      <c r="G6" s="220"/>
      <c r="H6" s="221"/>
      <c r="I6" s="64"/>
      <c r="J6" s="64"/>
      <c r="K6" s="64"/>
      <c r="L6" s="64"/>
      <c r="M6" s="64"/>
      <c r="N6" s="64"/>
      <c r="O6" s="64"/>
      <c r="P6" s="64"/>
      <c r="Q6" s="64"/>
      <c r="R6" s="64"/>
      <c r="S6" s="64"/>
      <c r="T6" s="64"/>
      <c r="U6" s="64"/>
      <c r="V6" s="64"/>
      <c r="W6" s="64"/>
      <c r="X6" s="64"/>
      <c r="Y6" s="64"/>
    </row>
    <row r="7" spans="2:25" ht="19.899999999999999" thickBot="1">
      <c r="B7" s="13"/>
      <c r="C7" s="16" t="s">
        <v>0</v>
      </c>
      <c r="D7" s="16"/>
      <c r="E7" s="16"/>
      <c r="F7" s="16"/>
      <c r="G7" s="14"/>
      <c r="H7" s="14"/>
      <c r="I7" s="63"/>
      <c r="J7" s="78" t="s">
        <v>1</v>
      </c>
      <c r="K7" s="78"/>
      <c r="L7" s="66"/>
      <c r="M7" s="66"/>
      <c r="N7" s="64"/>
      <c r="O7" s="64"/>
      <c r="P7" s="64"/>
      <c r="Q7" s="64"/>
      <c r="R7" s="64"/>
      <c r="S7" s="64"/>
      <c r="T7" s="64"/>
      <c r="U7" s="64"/>
      <c r="V7" s="64"/>
      <c r="W7" s="64"/>
      <c r="X7" s="358" t="s">
        <v>405</v>
      </c>
      <c r="Y7" s="358"/>
    </row>
    <row r="8" spans="2:25" ht="14.65" thickTop="1">
      <c r="B8" s="13"/>
      <c r="C8" s="14"/>
      <c r="D8" s="17"/>
      <c r="E8" s="14"/>
      <c r="F8" s="14"/>
      <c r="G8" s="14"/>
      <c r="H8" s="14"/>
      <c r="I8" s="63"/>
      <c r="J8" s="64"/>
      <c r="K8" s="64"/>
      <c r="L8" s="64"/>
      <c r="M8" s="64"/>
      <c r="N8" s="64"/>
      <c r="O8" s="64"/>
      <c r="P8" s="64"/>
      <c r="Q8" s="64"/>
      <c r="R8" s="64"/>
      <c r="S8" s="64"/>
      <c r="T8" s="64"/>
      <c r="U8" s="64"/>
      <c r="V8" s="64"/>
      <c r="W8" s="64"/>
      <c r="X8" s="64"/>
      <c r="Y8" s="65"/>
    </row>
    <row r="9" spans="2:25" ht="16.149999999999999" thickBot="1">
      <c r="B9" s="13"/>
      <c r="C9" s="14"/>
      <c r="D9" s="18" t="s">
        <v>98</v>
      </c>
      <c r="E9" s="19">
        <v>600</v>
      </c>
      <c r="F9" s="20"/>
      <c r="G9" s="20" t="s">
        <v>185</v>
      </c>
      <c r="H9" s="346" t="s">
        <v>406</v>
      </c>
      <c r="I9" s="63"/>
      <c r="J9" s="64"/>
      <c r="K9" s="67" t="s">
        <v>13</v>
      </c>
      <c r="L9" s="79">
        <v>0.9</v>
      </c>
      <c r="M9" s="68"/>
      <c r="N9" s="69" t="s">
        <v>14</v>
      </c>
      <c r="O9" s="64"/>
      <c r="P9" s="64"/>
      <c r="Q9" s="64"/>
      <c r="R9" s="64"/>
      <c r="S9" s="64"/>
      <c r="T9" s="64"/>
      <c r="U9" s="64"/>
      <c r="V9" s="64"/>
      <c r="W9" s="64"/>
      <c r="X9" s="64"/>
      <c r="Y9" s="65"/>
    </row>
    <row r="10" spans="2:25" ht="14.65" thickTop="1">
      <c r="B10" s="13"/>
      <c r="C10" s="14"/>
      <c r="D10" s="18"/>
      <c r="E10" s="253" t="str">
        <f>"= "&amp;ROUND(E9*'Equations HSC-AD'!C6,1)</f>
        <v>= 2160</v>
      </c>
      <c r="F10" s="254" t="str">
        <f>'Equations HSC-AD'!D6</f>
        <v>m³/h</v>
      </c>
      <c r="G10" s="20"/>
      <c r="H10" s="14"/>
      <c r="I10" s="63"/>
      <c r="J10" s="85"/>
      <c r="K10" s="85"/>
      <c r="L10" s="85"/>
      <c r="M10" s="85"/>
      <c r="N10" s="85"/>
      <c r="O10" s="85"/>
      <c r="P10" s="85"/>
      <c r="Q10" s="64"/>
      <c r="R10" s="64"/>
      <c r="S10" s="64"/>
      <c r="T10" s="64"/>
      <c r="U10" s="64"/>
      <c r="V10" s="64"/>
      <c r="W10" s="64"/>
      <c r="X10" s="64"/>
      <c r="Y10" s="65"/>
    </row>
    <row r="11" spans="2:25" ht="14.65" thickBot="1">
      <c r="B11" s="13"/>
      <c r="C11" s="14"/>
      <c r="D11" s="18" t="s">
        <v>300</v>
      </c>
      <c r="E11" s="19">
        <v>100</v>
      </c>
      <c r="F11" s="20" t="s">
        <v>197</v>
      </c>
      <c r="G11" s="21"/>
      <c r="H11" s="14"/>
      <c r="I11" s="63"/>
      <c r="J11" s="61" t="s">
        <v>97</v>
      </c>
      <c r="K11" s="62"/>
      <c r="L11" s="63"/>
      <c r="M11" s="63"/>
      <c r="N11" s="63"/>
      <c r="O11" s="63"/>
      <c r="P11" s="63"/>
      <c r="Q11" s="64"/>
      <c r="R11" s="64"/>
      <c r="S11" s="64"/>
      <c r="T11" s="64"/>
      <c r="U11" s="64"/>
      <c r="V11" s="64"/>
      <c r="W11" s="64"/>
      <c r="X11" s="64"/>
      <c r="Y11" s="65"/>
    </row>
    <row r="12" spans="2:25" ht="14.65" thickTop="1">
      <c r="B12" s="13"/>
      <c r="C12" s="14"/>
      <c r="D12" s="57"/>
      <c r="E12" s="57"/>
      <c r="F12" s="57"/>
      <c r="G12" s="57"/>
      <c r="H12" s="14"/>
      <c r="I12" s="63"/>
      <c r="J12" s="88"/>
      <c r="K12" s="63"/>
      <c r="L12" s="63"/>
      <c r="M12" s="63"/>
      <c r="N12" s="63"/>
      <c r="O12" s="63"/>
      <c r="P12" s="63"/>
      <c r="Q12" s="64"/>
      <c r="R12" s="64"/>
      <c r="S12" s="64"/>
      <c r="T12" s="64"/>
      <c r="U12" s="64"/>
      <c r="V12" s="64"/>
      <c r="W12" s="64"/>
      <c r="X12" s="64"/>
      <c r="Y12" s="65"/>
    </row>
    <row r="13" spans="2:25" ht="14.65" thickBot="1">
      <c r="B13" s="13"/>
      <c r="C13" s="14"/>
      <c r="D13" s="18" t="s">
        <v>338</v>
      </c>
      <c r="E13" s="19">
        <v>60</v>
      </c>
      <c r="F13" s="20" t="s">
        <v>2</v>
      </c>
      <c r="G13" s="21" t="s">
        <v>181</v>
      </c>
      <c r="H13" s="24"/>
      <c r="I13" s="63"/>
      <c r="J13" s="89" t="s">
        <v>179</v>
      </c>
      <c r="K13" s="64"/>
      <c r="L13" s="64"/>
      <c r="M13" s="64"/>
      <c r="N13" s="87"/>
      <c r="O13" s="85"/>
      <c r="P13" s="85"/>
      <c r="Q13" s="64"/>
      <c r="R13" s="64"/>
      <c r="S13" s="64"/>
      <c r="T13" s="64"/>
      <c r="U13" s="64"/>
      <c r="V13" s="64"/>
      <c r="W13" s="64"/>
      <c r="X13" s="64"/>
      <c r="Y13" s="65"/>
    </row>
    <row r="14" spans="2:25" ht="14.65" thickTop="1">
      <c r="B14" s="13"/>
      <c r="C14" s="14"/>
      <c r="D14" s="18"/>
      <c r="E14" s="22"/>
      <c r="F14" s="20"/>
      <c r="G14" s="20"/>
      <c r="H14" s="14"/>
      <c r="I14" s="63"/>
      <c r="J14" s="103" t="s">
        <v>127</v>
      </c>
      <c r="K14" s="64"/>
      <c r="L14" s="249" t="str">
        <f>"nominal distance = "&amp;ROUND('Equations HSC-AD'!C209,1)</f>
        <v>nominal distance = 10.1</v>
      </c>
      <c r="M14" s="250" t="s">
        <v>4</v>
      </c>
      <c r="N14" s="252" t="s">
        <v>269</v>
      </c>
      <c r="O14" s="85"/>
      <c r="P14" s="85"/>
      <c r="Q14" s="64"/>
      <c r="R14" s="64"/>
      <c r="S14" s="64"/>
      <c r="T14" s="64"/>
      <c r="U14" s="64"/>
      <c r="V14" s="64"/>
      <c r="W14" s="64"/>
      <c r="X14" s="64"/>
      <c r="Y14" s="65"/>
    </row>
    <row r="15" spans="2:25" ht="14.65" thickBot="1">
      <c r="B15" s="13"/>
      <c r="C15" s="14"/>
      <c r="D15" s="18" t="s">
        <v>3</v>
      </c>
      <c r="E15" s="23">
        <v>6</v>
      </c>
      <c r="F15" s="20" t="s">
        <v>4</v>
      </c>
      <c r="G15" s="21" t="s">
        <v>270</v>
      </c>
      <c r="H15" s="21"/>
      <c r="I15" s="63"/>
      <c r="J15" s="89" t="s">
        <v>103</v>
      </c>
      <c r="K15" s="64"/>
      <c r="L15" s="90">
        <v>11.7</v>
      </c>
      <c r="M15" s="86" t="s">
        <v>4</v>
      </c>
      <c r="N15" s="87" t="s">
        <v>109</v>
      </c>
      <c r="O15" s="85"/>
      <c r="P15" s="85"/>
      <c r="Q15" s="64"/>
      <c r="R15" s="64"/>
      <c r="S15" s="64"/>
      <c r="T15" s="64"/>
      <c r="U15" s="64"/>
      <c r="V15" s="64"/>
      <c r="W15" s="64"/>
      <c r="X15" s="64"/>
      <c r="Y15" s="65"/>
    </row>
    <row r="16" spans="2:25" ht="14.65" thickTop="1">
      <c r="B16" s="13"/>
      <c r="C16" s="14"/>
      <c r="D16" s="18"/>
      <c r="E16" s="22"/>
      <c r="F16" s="20"/>
      <c r="G16" s="20"/>
      <c r="H16" s="21"/>
      <c r="I16" s="63"/>
      <c r="J16" s="103" t="s">
        <v>127</v>
      </c>
      <c r="K16" s="64"/>
      <c r="L16" s="101" t="str">
        <f>"= specific airflow rate: "&amp;ROUND('Equations HSC-AD'!C199,1)</f>
        <v>= specific airflow rate: 5.9</v>
      </c>
      <c r="M16" s="102" t="str">
        <f>'Equations HSC-AD'!G3</f>
        <v>L/s/m²</v>
      </c>
      <c r="N16" s="87"/>
      <c r="O16" s="85"/>
      <c r="P16" s="85"/>
      <c r="Q16" s="64"/>
      <c r="R16" s="64"/>
      <c r="S16" s="64"/>
      <c r="T16" s="64"/>
      <c r="U16" s="64"/>
      <c r="V16" s="64"/>
      <c r="W16" s="64"/>
      <c r="X16" s="64"/>
      <c r="Y16" s="65"/>
    </row>
    <row r="17" spans="2:25" ht="14.65" thickBot="1">
      <c r="B17" s="13"/>
      <c r="C17" s="14"/>
      <c r="D17" s="18" t="s">
        <v>5</v>
      </c>
      <c r="E17" s="243">
        <v>-12</v>
      </c>
      <c r="F17" s="20" t="s">
        <v>6</v>
      </c>
      <c r="G17" s="244" t="s">
        <v>267</v>
      </c>
      <c r="H17" s="21"/>
      <c r="I17" s="63"/>
      <c r="J17" s="89" t="s">
        <v>108</v>
      </c>
      <c r="K17" s="64"/>
      <c r="L17" s="90">
        <v>10</v>
      </c>
      <c r="M17" s="86" t="str">
        <f>'Equations HSC-AD'!G3</f>
        <v>L/s/m²</v>
      </c>
      <c r="N17" s="93" t="str">
        <f>IF('Equations HSC-AD'!C3=1,"≤ 30 L/s/m²","≤ 108 m³/h/m²")</f>
        <v>≤ 30 L/s/m²</v>
      </c>
      <c r="O17" s="85"/>
      <c r="P17" s="85"/>
      <c r="Q17" s="64"/>
      <c r="R17" s="64"/>
      <c r="S17" s="64"/>
      <c r="T17" s="64"/>
      <c r="U17" s="64"/>
      <c r="V17" s="64"/>
      <c r="W17" s="64"/>
      <c r="X17" s="64"/>
      <c r="Y17" s="65"/>
    </row>
    <row r="18" spans="2:25" ht="14.65" thickTop="1">
      <c r="B18" s="13"/>
      <c r="C18" s="14"/>
      <c r="D18" s="18"/>
      <c r="E18" s="20"/>
      <c r="F18" s="20"/>
      <c r="G18" s="21"/>
      <c r="H18" s="21"/>
      <c r="I18" s="63"/>
      <c r="J18" s="85"/>
      <c r="K18" s="64"/>
      <c r="L18" s="101" t="str">
        <f>"average diffuser centreline distance: " &amp; ROUND('Equations HSC-AD'!C200,1)</f>
        <v>average diffuser centreline distance: 10.1</v>
      </c>
      <c r="M18" s="102" t="s">
        <v>4</v>
      </c>
      <c r="N18" s="87"/>
      <c r="O18" s="64"/>
      <c r="P18" s="64"/>
      <c r="Q18" s="64"/>
      <c r="R18" s="64"/>
      <c r="S18" s="63"/>
      <c r="T18" s="63"/>
      <c r="U18" s="64"/>
      <c r="V18" s="64"/>
      <c r="W18" s="64"/>
      <c r="X18" s="64"/>
      <c r="Y18" s="65"/>
    </row>
    <row r="19" spans="2:25">
      <c r="B19" s="13"/>
      <c r="C19" s="14"/>
      <c r="D19" s="18"/>
      <c r="E19" s="20"/>
      <c r="F19" s="20"/>
      <c r="G19" s="21"/>
      <c r="H19" s="21"/>
      <c r="I19" s="63"/>
      <c r="J19" s="85"/>
      <c r="K19" s="70" t="s">
        <v>305</v>
      </c>
      <c r="L19" s="283"/>
      <c r="M19" s="285" t="s">
        <v>306</v>
      </c>
      <c r="N19" s="284" t="s">
        <v>307</v>
      </c>
      <c r="O19" s="284"/>
      <c r="P19" s="64"/>
      <c r="Q19" s="64"/>
      <c r="R19" s="64"/>
      <c r="S19" s="63"/>
      <c r="T19" s="63"/>
      <c r="U19" s="64"/>
      <c r="V19" s="64"/>
      <c r="W19" s="64"/>
      <c r="X19" s="64"/>
      <c r="Y19" s="65"/>
    </row>
    <row r="20" spans="2:25">
      <c r="B20" s="13"/>
      <c r="C20" s="14"/>
      <c r="D20" s="18"/>
      <c r="E20" s="20"/>
      <c r="F20" s="20"/>
      <c r="G20" s="21"/>
      <c r="H20" s="21"/>
      <c r="I20" s="63"/>
      <c r="J20" s="85"/>
      <c r="K20" s="64"/>
      <c r="L20" s="101"/>
      <c r="M20" s="102"/>
      <c r="N20" s="87"/>
      <c r="O20" s="64"/>
      <c r="P20" s="64"/>
      <c r="Q20" s="64"/>
      <c r="R20" s="64"/>
      <c r="S20" s="63"/>
      <c r="T20" s="63"/>
      <c r="U20" s="64"/>
      <c r="V20" s="64"/>
      <c r="W20" s="64"/>
      <c r="X20" s="64"/>
      <c r="Y20" s="65"/>
    </row>
    <row r="21" spans="2:25" ht="14.65" thickBot="1">
      <c r="B21" s="13"/>
      <c r="C21" s="14"/>
      <c r="D21" s="18"/>
      <c r="E21" s="20"/>
      <c r="F21" s="20"/>
      <c r="G21" s="21"/>
      <c r="H21" s="21"/>
      <c r="I21" s="63"/>
      <c r="J21" s="85"/>
      <c r="K21" s="70" t="s">
        <v>217</v>
      </c>
      <c r="L21" s="223">
        <v>4</v>
      </c>
      <c r="M21" s="68" t="s">
        <v>6</v>
      </c>
      <c r="N21" s="87" t="s">
        <v>95</v>
      </c>
      <c r="O21" s="64"/>
      <c r="P21" s="64"/>
      <c r="Q21" s="64"/>
      <c r="R21" s="64"/>
      <c r="S21" s="63"/>
      <c r="T21" s="63"/>
      <c r="U21" s="64"/>
      <c r="V21" s="64"/>
      <c r="W21" s="64"/>
      <c r="X21" s="64"/>
      <c r="Y21" s="65"/>
    </row>
    <row r="22" spans="2:25" ht="14.65" thickTop="1">
      <c r="B22" s="13"/>
      <c r="C22" s="14"/>
      <c r="D22" s="18"/>
      <c r="E22" s="20"/>
      <c r="F22" s="20"/>
      <c r="G22" s="21"/>
      <c r="H22" s="21"/>
      <c r="I22" s="63"/>
      <c r="J22" s="85"/>
      <c r="K22" s="64"/>
      <c r="L22" s="101"/>
      <c r="M22" s="102"/>
      <c r="N22" s="87"/>
      <c r="O22" s="64"/>
      <c r="P22" s="64"/>
      <c r="Q22" s="251"/>
      <c r="R22" s="64"/>
      <c r="S22" s="63"/>
      <c r="T22" s="63"/>
      <c r="U22" s="64"/>
      <c r="V22" s="64"/>
      <c r="W22" s="64"/>
      <c r="X22" s="64"/>
      <c r="Y22" s="65"/>
    </row>
    <row r="23" spans="2:25" ht="14.65" thickBot="1">
      <c r="B23" s="13"/>
      <c r="C23" s="14"/>
      <c r="D23" s="18"/>
      <c r="E23" s="20"/>
      <c r="F23" s="20"/>
      <c r="G23" s="21"/>
      <c r="H23" s="21"/>
      <c r="I23" s="64"/>
      <c r="J23" s="64"/>
      <c r="K23" s="70" t="s">
        <v>78</v>
      </c>
      <c r="L23" s="80">
        <v>23</v>
      </c>
      <c r="M23" s="68" t="s">
        <v>92</v>
      </c>
      <c r="N23" s="87" t="s">
        <v>111</v>
      </c>
      <c r="O23" s="64"/>
      <c r="P23" s="64"/>
      <c r="Q23" s="64"/>
      <c r="R23" s="64"/>
      <c r="S23" s="64"/>
      <c r="T23" s="64"/>
      <c r="U23" s="64"/>
      <c r="V23" s="64"/>
      <c r="W23" s="64"/>
      <c r="X23" s="64"/>
      <c r="Y23" s="65"/>
    </row>
    <row r="24" spans="2:25" ht="14.65" thickTop="1">
      <c r="B24" s="13"/>
      <c r="C24" s="21"/>
      <c r="D24" s="21"/>
      <c r="E24" s="21"/>
      <c r="F24" s="21"/>
      <c r="G24" s="21"/>
      <c r="H24" s="21"/>
      <c r="I24" s="64"/>
      <c r="J24" s="64"/>
      <c r="K24" s="64"/>
      <c r="L24" s="64"/>
      <c r="M24" s="64"/>
      <c r="N24" s="87"/>
      <c r="O24" s="64"/>
      <c r="P24" s="64"/>
      <c r="Q24" s="64"/>
      <c r="R24" s="64"/>
      <c r="S24" s="64"/>
      <c r="T24" s="64"/>
      <c r="U24" s="64"/>
      <c r="V24" s="64"/>
      <c r="W24" s="64"/>
      <c r="X24" s="64"/>
      <c r="Y24" s="65"/>
    </row>
    <row r="25" spans="2:25" ht="14.65" thickBot="1">
      <c r="B25" s="13"/>
      <c r="C25" s="57"/>
      <c r="D25" s="57"/>
      <c r="E25" s="57"/>
      <c r="F25" s="57"/>
      <c r="G25" s="21"/>
      <c r="H25" s="21"/>
      <c r="I25" s="71"/>
      <c r="J25" s="64"/>
      <c r="K25" s="70" t="s">
        <v>93</v>
      </c>
      <c r="L25" s="80">
        <v>20</v>
      </c>
      <c r="M25" s="68" t="s">
        <v>92</v>
      </c>
      <c r="N25" s="87" t="s">
        <v>95</v>
      </c>
      <c r="O25" s="64"/>
      <c r="P25" s="64"/>
      <c r="Q25" s="64"/>
      <c r="R25" s="64"/>
      <c r="S25" s="64"/>
      <c r="T25" s="64"/>
      <c r="U25" s="64"/>
      <c r="V25" s="64"/>
      <c r="W25" s="64"/>
      <c r="X25" s="64"/>
      <c r="Y25" s="65"/>
    </row>
    <row r="26" spans="2:25" ht="14.65" thickTop="1">
      <c r="B26" s="13"/>
      <c r="C26" s="57"/>
      <c r="D26" s="57"/>
      <c r="E26" s="57"/>
      <c r="F26" s="57"/>
      <c r="G26" s="21"/>
      <c r="H26" s="21"/>
      <c r="I26" s="64"/>
      <c r="J26" s="64"/>
      <c r="K26" s="64"/>
      <c r="L26" s="101" t="str">
        <f>"auto room temp. (heating) = "&amp; 'Equations HSC-AD'!C23</f>
        <v>auto room temp. (heating) = 21</v>
      </c>
      <c r="M26" s="102" t="s">
        <v>92</v>
      </c>
      <c r="N26" s="87"/>
      <c r="O26" s="64"/>
      <c r="P26" s="64"/>
      <c r="Q26" s="64"/>
      <c r="R26" s="64"/>
      <c r="S26" s="64"/>
      <c r="T26" s="64"/>
      <c r="U26" s="64"/>
      <c r="V26" s="64"/>
      <c r="W26" s="64"/>
      <c r="X26" s="64"/>
      <c r="Y26" s="65"/>
    </row>
    <row r="27" spans="2:25" ht="14.65" thickBot="1">
      <c r="B27" s="13"/>
      <c r="C27" s="57"/>
      <c r="D27" s="57"/>
      <c r="E27" s="57"/>
      <c r="F27" s="57"/>
      <c r="G27" s="21"/>
      <c r="H27" s="21"/>
      <c r="I27" s="64"/>
      <c r="J27" s="64"/>
      <c r="K27" s="70" t="s">
        <v>128</v>
      </c>
      <c r="L27" s="81">
        <v>16</v>
      </c>
      <c r="M27" s="68" t="s">
        <v>92</v>
      </c>
      <c r="N27" s="87" t="s">
        <v>99</v>
      </c>
      <c r="O27" s="64"/>
      <c r="P27" s="64"/>
      <c r="Q27" s="64"/>
      <c r="R27" s="64"/>
      <c r="S27" s="64"/>
      <c r="T27" s="64"/>
      <c r="U27" s="64"/>
      <c r="V27" s="64"/>
      <c r="W27" s="64"/>
      <c r="X27" s="64"/>
      <c r="Y27" s="65"/>
    </row>
    <row r="28" spans="2:25" ht="14.65" thickTop="1">
      <c r="B28" s="13"/>
      <c r="C28" s="57"/>
      <c r="D28" s="57"/>
      <c r="E28" s="57"/>
      <c r="F28" s="57"/>
      <c r="G28" s="21"/>
      <c r="H28" s="21"/>
      <c r="I28" s="64"/>
      <c r="J28" s="64"/>
      <c r="K28" s="64"/>
      <c r="L28" s="64"/>
      <c r="M28" s="64"/>
      <c r="N28" s="64"/>
      <c r="O28" s="64"/>
      <c r="P28" s="64"/>
      <c r="Q28" s="64"/>
      <c r="R28" s="63"/>
      <c r="S28" s="64"/>
      <c r="T28" s="64"/>
      <c r="U28" s="64"/>
      <c r="V28" s="64"/>
      <c r="W28" s="64"/>
      <c r="X28" s="64"/>
      <c r="Y28" s="65"/>
    </row>
    <row r="29" spans="2:25" ht="14.65" thickBot="1">
      <c r="B29" s="13"/>
      <c r="C29" s="57"/>
      <c r="D29" s="57"/>
      <c r="E29" s="57"/>
      <c r="F29" s="229"/>
      <c r="G29" s="21"/>
      <c r="H29" s="21"/>
      <c r="I29" s="63"/>
      <c r="J29" s="63"/>
      <c r="K29" s="70" t="s">
        <v>114</v>
      </c>
      <c r="L29" s="79">
        <v>0</v>
      </c>
      <c r="M29" s="63"/>
      <c r="N29" s="87" t="s">
        <v>113</v>
      </c>
      <c r="O29" s="63"/>
      <c r="P29" s="63"/>
      <c r="Q29" s="63"/>
      <c r="R29" s="64"/>
      <c r="S29" s="64"/>
      <c r="T29" s="64"/>
      <c r="U29" s="64"/>
      <c r="V29" s="64"/>
      <c r="W29" s="64"/>
      <c r="X29" s="64"/>
      <c r="Y29" s="65"/>
    </row>
    <row r="30" spans="2:25" ht="14.65" thickTop="1">
      <c r="B30" s="13"/>
      <c r="C30" s="58"/>
      <c r="D30" s="59"/>
      <c r="E30" s="60"/>
      <c r="F30" s="60"/>
      <c r="G30" s="21"/>
      <c r="H30" s="21"/>
      <c r="I30" s="64"/>
      <c r="J30" s="64"/>
      <c r="K30" s="70"/>
      <c r="L30" s="64"/>
      <c r="M30" s="68"/>
      <c r="N30" s="64"/>
      <c r="O30" s="64"/>
      <c r="P30" s="64"/>
      <c r="Q30" s="64"/>
      <c r="R30" s="64"/>
      <c r="S30" s="64"/>
      <c r="T30" s="64"/>
      <c r="U30" s="64"/>
      <c r="V30" s="64"/>
      <c r="W30" s="64"/>
      <c r="X30" s="64"/>
      <c r="Y30" s="65"/>
    </row>
    <row r="31" spans="2:25">
      <c r="B31" s="13"/>
      <c r="C31" s="14"/>
      <c r="D31" s="14"/>
      <c r="E31" s="20"/>
      <c r="F31" s="14"/>
      <c r="G31" s="14"/>
      <c r="H31" s="14"/>
      <c r="I31" s="63"/>
      <c r="J31" s="64"/>
      <c r="K31" s="70" t="s">
        <v>7</v>
      </c>
      <c r="L31" s="72"/>
      <c r="M31" s="64"/>
      <c r="N31" s="64"/>
      <c r="O31" s="64"/>
      <c r="P31" s="64"/>
      <c r="Q31" s="64"/>
      <c r="R31" s="64"/>
      <c r="S31" s="64"/>
      <c r="T31" s="64"/>
      <c r="U31" s="64"/>
      <c r="V31" s="64"/>
      <c r="W31" s="64"/>
      <c r="X31" s="64"/>
      <c r="Y31" s="65"/>
    </row>
    <row r="32" spans="2:25">
      <c r="B32" s="13"/>
      <c r="C32" s="14"/>
      <c r="D32" s="14"/>
      <c r="E32" s="20"/>
      <c r="F32" s="14"/>
      <c r="G32" s="14"/>
      <c r="H32" s="14"/>
      <c r="I32" s="63"/>
      <c r="J32" s="72"/>
      <c r="K32" s="73" t="s">
        <v>15</v>
      </c>
      <c r="L32" s="74" t="s">
        <v>8</v>
      </c>
      <c r="M32" s="64"/>
      <c r="N32" s="74"/>
      <c r="O32" s="64"/>
      <c r="P32" s="64"/>
      <c r="Q32" s="64"/>
      <c r="R32" s="64"/>
      <c r="S32" s="64"/>
      <c r="T32" s="64"/>
      <c r="U32" s="64"/>
      <c r="V32" s="64"/>
      <c r="W32" s="64"/>
      <c r="X32" s="64"/>
      <c r="Y32" s="65"/>
    </row>
    <row r="33" spans="2:25">
      <c r="B33" s="13"/>
      <c r="C33" s="14"/>
      <c r="D33" s="14"/>
      <c r="E33" s="20"/>
      <c r="F33" s="14"/>
      <c r="G33" s="14"/>
      <c r="H33" s="14"/>
      <c r="I33" s="63"/>
      <c r="J33" s="73"/>
      <c r="K33" s="73" t="s">
        <v>16</v>
      </c>
      <c r="L33" s="74" t="s">
        <v>9</v>
      </c>
      <c r="M33" s="64"/>
      <c r="N33" s="74"/>
      <c r="O33" s="64"/>
      <c r="P33" s="64"/>
      <c r="Q33" s="64"/>
      <c r="R33" s="64"/>
      <c r="S33" s="64"/>
      <c r="T33" s="64"/>
      <c r="U33" s="64"/>
      <c r="V33" s="64"/>
      <c r="W33" s="64"/>
      <c r="X33" s="64"/>
      <c r="Y33" s="65"/>
    </row>
    <row r="34" spans="2:25">
      <c r="B34" s="13"/>
      <c r="C34" s="14"/>
      <c r="D34" s="14"/>
      <c r="E34" s="14"/>
      <c r="F34" s="14"/>
      <c r="G34" s="301"/>
      <c r="H34" s="301"/>
      <c r="I34" s="63"/>
      <c r="J34" s="73"/>
      <c r="K34" s="73" t="s">
        <v>17</v>
      </c>
      <c r="L34" s="74" t="s">
        <v>10</v>
      </c>
      <c r="M34" s="64"/>
      <c r="N34" s="74"/>
      <c r="O34" s="64"/>
      <c r="P34" s="64"/>
      <c r="Q34" s="64"/>
      <c r="R34" s="64"/>
      <c r="S34" s="64"/>
      <c r="T34" s="64"/>
      <c r="U34" s="64"/>
      <c r="V34" s="64"/>
      <c r="W34" s="64"/>
      <c r="X34" s="64"/>
      <c r="Y34" s="65"/>
    </row>
    <row r="35" spans="2:25">
      <c r="B35" s="13"/>
      <c r="C35" s="14"/>
      <c r="D35" s="18"/>
      <c r="E35" s="14"/>
      <c r="F35" s="20"/>
      <c r="G35" s="302"/>
      <c r="H35" s="21"/>
      <c r="I35" s="63"/>
      <c r="J35" s="73"/>
      <c r="K35" s="73" t="s">
        <v>18</v>
      </c>
      <c r="L35" s="74" t="s">
        <v>11</v>
      </c>
      <c r="M35" s="64"/>
      <c r="N35" s="74"/>
      <c r="O35" s="64"/>
      <c r="P35" s="64"/>
      <c r="Q35" s="64"/>
      <c r="R35" s="64"/>
      <c r="S35" s="64"/>
      <c r="T35" s="64"/>
      <c r="U35" s="64"/>
      <c r="V35" s="64"/>
      <c r="W35" s="64"/>
      <c r="X35" s="64"/>
      <c r="Y35" s="65"/>
    </row>
    <row r="36" spans="2:25" ht="15.75">
      <c r="B36" s="40"/>
      <c r="C36" s="41"/>
      <c r="D36" s="42"/>
      <c r="E36" s="41"/>
      <c r="F36" s="43"/>
      <c r="G36" s="43"/>
      <c r="H36" s="43"/>
      <c r="I36" s="75"/>
      <c r="J36" s="75"/>
      <c r="K36" s="75"/>
      <c r="L36" s="75"/>
      <c r="M36" s="75"/>
      <c r="N36" s="75"/>
      <c r="O36" s="75"/>
      <c r="P36" s="75"/>
      <c r="Q36" s="76"/>
      <c r="R36" s="76"/>
      <c r="S36" s="76"/>
      <c r="T36" s="76"/>
      <c r="U36" s="76"/>
      <c r="V36" s="76"/>
      <c r="W36" s="76"/>
      <c r="X36" s="76"/>
      <c r="Y36" s="77"/>
    </row>
    <row r="37" spans="2:25" ht="7.5" customHeight="1">
      <c r="B37" s="13"/>
      <c r="C37" s="14"/>
      <c r="D37" s="25"/>
      <c r="E37" s="14"/>
      <c r="F37" s="26"/>
      <c r="G37" s="26"/>
      <c r="H37" s="26"/>
      <c r="I37" s="26"/>
      <c r="J37" s="26"/>
      <c r="K37" s="26"/>
      <c r="L37" s="26"/>
      <c r="M37" s="26"/>
      <c r="N37" s="56"/>
      <c r="O37" s="56"/>
      <c r="P37" s="26"/>
      <c r="Q37" s="14"/>
      <c r="R37" s="14"/>
      <c r="S37" s="14"/>
      <c r="T37" s="14"/>
      <c r="U37" s="14"/>
      <c r="V37" s="14"/>
      <c r="W37" s="14"/>
      <c r="X37" s="14"/>
      <c r="Y37" s="15"/>
    </row>
    <row r="38" spans="2:25" ht="19.5" customHeight="1">
      <c r="B38" s="13"/>
      <c r="C38" s="37"/>
      <c r="D38" s="18"/>
      <c r="E38" s="14"/>
      <c r="F38" s="104"/>
      <c r="G38" s="105"/>
      <c r="H38" s="105"/>
      <c r="I38" s="106"/>
      <c r="J38" s="106"/>
      <c r="K38" s="107"/>
      <c r="L38" s="108"/>
      <c r="M38" s="108"/>
      <c r="N38" s="352" t="s">
        <v>180</v>
      </c>
      <c r="O38" s="353"/>
      <c r="P38" s="356" t="s">
        <v>278</v>
      </c>
      <c r="Q38" s="14"/>
      <c r="R38" s="14"/>
      <c r="S38" s="14"/>
      <c r="T38" s="14"/>
      <c r="U38" s="96" t="s">
        <v>117</v>
      </c>
      <c r="V38" s="97" t="s">
        <v>118</v>
      </c>
      <c r="W38" s="98" t="s">
        <v>119</v>
      </c>
      <c r="X38" s="153" t="s">
        <v>120</v>
      </c>
      <c r="Y38" s="15"/>
    </row>
    <row r="39" spans="2:25" ht="21" customHeight="1">
      <c r="B39" s="13"/>
      <c r="C39" s="36"/>
      <c r="D39" s="39"/>
      <c r="E39" s="287"/>
      <c r="F39" s="109" t="s">
        <v>66</v>
      </c>
      <c r="G39" s="110" t="s">
        <v>65</v>
      </c>
      <c r="H39" s="109" t="s">
        <v>67</v>
      </c>
      <c r="I39" s="110" t="s">
        <v>68</v>
      </c>
      <c r="J39" s="109" t="s">
        <v>69</v>
      </c>
      <c r="K39" s="110" t="s">
        <v>70</v>
      </c>
      <c r="L39" s="109" t="s">
        <v>71</v>
      </c>
      <c r="M39" s="215" t="s">
        <v>72</v>
      </c>
      <c r="N39" s="216" t="s">
        <v>73</v>
      </c>
      <c r="O39" s="110" t="s">
        <v>74</v>
      </c>
      <c r="P39" s="357"/>
      <c r="Q39" s="267"/>
      <c r="R39" s="14"/>
      <c r="S39" s="14"/>
      <c r="T39" s="14"/>
      <c r="U39" s="131" t="s">
        <v>130</v>
      </c>
      <c r="V39" s="132" t="s">
        <v>129</v>
      </c>
      <c r="W39" s="14"/>
      <c r="X39" s="14"/>
      <c r="Y39" s="15"/>
    </row>
    <row r="40" spans="2:25" ht="21" customHeight="1">
      <c r="B40" s="13"/>
      <c r="C40" s="38" t="str">
        <f>'Equations HSC-AD'!B244</f>
        <v>Max Airflow [L/s]</v>
      </c>
      <c r="D40" s="18"/>
      <c r="E40" s="288"/>
      <c r="F40" s="111">
        <f>'Equations HSC-AD'!C244</f>
        <v>600</v>
      </c>
      <c r="G40" s="112">
        <f>'Equations HSC-AD'!D244</f>
        <v>600</v>
      </c>
      <c r="H40" s="111">
        <f>'Equations HSC-AD'!E244</f>
        <v>600</v>
      </c>
      <c r="I40" s="112">
        <f>'Equations HSC-AD'!F244</f>
        <v>600</v>
      </c>
      <c r="J40" s="111">
        <f>'Equations HSC-AD'!G244</f>
        <v>600</v>
      </c>
      <c r="K40" s="112">
        <f>'Equations HSC-AD'!H244</f>
        <v>600</v>
      </c>
      <c r="L40" s="111">
        <f>'Equations HSC-AD'!I244</f>
        <v>600</v>
      </c>
      <c r="M40" s="113">
        <f>'Equations HSC-AD'!J244</f>
        <v>600</v>
      </c>
      <c r="N40" s="111">
        <f>'Equations HSC-AD'!K244</f>
        <v>600</v>
      </c>
      <c r="O40" s="113">
        <f>'Equations HSC-AD'!L244</f>
        <v>600</v>
      </c>
      <c r="P40" s="266">
        <f>'Equations HSC-AD'!M244</f>
        <v>600</v>
      </c>
      <c r="Q40" s="14"/>
      <c r="R40" s="14"/>
      <c r="S40" s="14"/>
      <c r="T40" s="14"/>
      <c r="U40" s="131" t="s">
        <v>130</v>
      </c>
      <c r="V40" s="271" t="s">
        <v>317</v>
      </c>
      <c r="W40" s="14"/>
      <c r="X40" s="14"/>
      <c r="Y40" s="15"/>
    </row>
    <row r="41" spans="2:25" ht="21" customHeight="1">
      <c r="B41" s="13"/>
      <c r="C41" s="53" t="str">
        <f>'Equations HSC-AD'!B245</f>
        <v>Max Permissible Airflow [L/s]</v>
      </c>
      <c r="D41" s="54"/>
      <c r="E41" s="289"/>
      <c r="F41" s="114">
        <f>'Equations HSC-AD'!C245</f>
        <v>178.55755374668414</v>
      </c>
      <c r="G41" s="115">
        <f>'Equations HSC-AD'!D245</f>
        <v>199.37101093188045</v>
      </c>
      <c r="H41" s="114">
        <f>'Equations HSC-AD'!E245</f>
        <v>358.21055260837863</v>
      </c>
      <c r="I41" s="115">
        <f>'Equations HSC-AD'!F245</f>
        <v>451.32338738425682</v>
      </c>
      <c r="J41" s="114">
        <f>'Equations HSC-AD'!G245</f>
        <v>660.55340435123026</v>
      </c>
      <c r="K41" s="115">
        <f>'Equations HSC-AD'!H245</f>
        <v>779.95692188735654</v>
      </c>
      <c r="L41" s="114">
        <f>'Equations HSC-AD'!I245</f>
        <v>1331.9398845338208</v>
      </c>
      <c r="M41" s="116">
        <f>'Equations HSC-AD'!J245</f>
        <v>1572.7051372936655</v>
      </c>
      <c r="N41" s="114">
        <f>'Equations HSC-AD'!K245</f>
        <v>2642.213617404921</v>
      </c>
      <c r="O41" s="116">
        <f>'Equations HSC-AD'!L245</f>
        <v>3119.8276875494253</v>
      </c>
      <c r="P41" s="258">
        <f>'Equations HSC-AD'!M245</f>
        <v>5601.9625957637491</v>
      </c>
      <c r="Q41" s="96"/>
      <c r="R41" s="57"/>
      <c r="S41" s="57"/>
      <c r="T41" s="57"/>
      <c r="U41" s="57"/>
      <c r="V41" s="14"/>
      <c r="W41" s="14"/>
      <c r="X41" s="14"/>
      <c r="Y41" s="15"/>
    </row>
    <row r="42" spans="2:25" ht="21" customHeight="1">
      <c r="B42" s="13"/>
      <c r="C42" s="38" t="str">
        <f>'Equations HSC-AD'!B246</f>
        <v>Min Airflow (Turndown To) [L/s]</v>
      </c>
      <c r="D42" s="54"/>
      <c r="E42" s="289"/>
      <c r="F42" s="111">
        <f>'Equations HSC-AD'!C246</f>
        <v>600</v>
      </c>
      <c r="G42" s="112">
        <f>'Equations HSC-AD'!D246</f>
        <v>600</v>
      </c>
      <c r="H42" s="111">
        <f>'Equations HSC-AD'!E246</f>
        <v>600</v>
      </c>
      <c r="I42" s="112">
        <f>'Equations HSC-AD'!F246</f>
        <v>600</v>
      </c>
      <c r="J42" s="111">
        <f>'Equations HSC-AD'!G246</f>
        <v>600</v>
      </c>
      <c r="K42" s="112">
        <f>'Equations HSC-AD'!H246</f>
        <v>600</v>
      </c>
      <c r="L42" s="111">
        <f>'Equations HSC-AD'!I246</f>
        <v>600</v>
      </c>
      <c r="M42" s="113">
        <f>'Equations HSC-AD'!J246</f>
        <v>600</v>
      </c>
      <c r="N42" s="111">
        <f>'Equations HSC-AD'!K246</f>
        <v>600</v>
      </c>
      <c r="O42" s="113">
        <f>'Equations HSC-AD'!L246</f>
        <v>600</v>
      </c>
      <c r="P42" s="258"/>
      <c r="Q42" s="96"/>
      <c r="R42" s="57"/>
      <c r="S42" s="57"/>
      <c r="T42" s="57"/>
      <c r="U42" s="57"/>
      <c r="V42" s="14"/>
      <c r="W42" s="14"/>
      <c r="X42" s="14"/>
      <c r="Y42" s="15"/>
    </row>
    <row r="43" spans="2:25" ht="21" customHeight="1">
      <c r="B43" s="13"/>
      <c r="C43" s="94" t="str">
        <f>'Equations HSC-AD'!B247</f>
        <v>Min Permissible Airflow [L/s]</v>
      </c>
      <c r="D43" s="95"/>
      <c r="E43" s="290"/>
      <c r="F43" s="117">
        <f>'Equations HSC-AD'!C247</f>
        <v>59.1</v>
      </c>
      <c r="G43" s="118">
        <f>'Equations HSC-AD'!D247</f>
        <v>84.4</v>
      </c>
      <c r="H43" s="119">
        <f>'Equations HSC-AD'!E247</f>
        <v>118.9</v>
      </c>
      <c r="I43" s="118">
        <f>'Equations HSC-AD'!F247</f>
        <v>169.6</v>
      </c>
      <c r="J43" s="119">
        <f>'Equations HSC-AD'!G247</f>
        <v>234.6</v>
      </c>
      <c r="K43" s="118">
        <f>'Equations HSC-AD'!H247</f>
        <v>335</v>
      </c>
      <c r="L43" s="119">
        <f>'Equations HSC-AD'!I247</f>
        <v>471.8</v>
      </c>
      <c r="M43" s="120">
        <f>'Equations HSC-AD'!J247</f>
        <v>672.6</v>
      </c>
      <c r="N43" s="119">
        <f>'Equations HSC-AD'!K247</f>
        <v>930.7</v>
      </c>
      <c r="O43" s="120">
        <f>'Equations HSC-AD'!L247</f>
        <v>1328.8</v>
      </c>
      <c r="P43" s="258">
        <f>'Equations HSC-AD'!M247</f>
        <v>2385.9932800000001</v>
      </c>
      <c r="Q43" s="131"/>
      <c r="R43" s="57"/>
      <c r="S43" s="57"/>
      <c r="T43" s="57"/>
      <c r="U43" s="57"/>
      <c r="V43" s="14"/>
      <c r="W43" s="14"/>
      <c r="X43" s="14"/>
      <c r="Y43" s="15"/>
    </row>
    <row r="44" spans="2:25" ht="21" customHeight="1">
      <c r="B44" s="13"/>
      <c r="C44" s="38" t="s">
        <v>274</v>
      </c>
      <c r="D44" s="255"/>
      <c r="E44" s="291"/>
      <c r="F44" s="111">
        <f>'Equations HSC-AD'!C248</f>
        <v>585.97122438242832</v>
      </c>
      <c r="G44" s="112">
        <f>'Equations HSC-AD'!D248</f>
        <v>451.90258053683624</v>
      </c>
      <c r="H44" s="111">
        <f>'Equations HSC-AD'!E248</f>
        <v>145.82911225629374</v>
      </c>
      <c r="I44" s="112">
        <f>'Equations HSC-AD'!F248</f>
        <v>83.535153380529053</v>
      </c>
      <c r="J44" s="111">
        <f>'Equations HSC-AD'!G248</f>
        <v>43.784346981075252</v>
      </c>
      <c r="K44" s="112">
        <f>'Equations HSC-AD'!H248</f>
        <v>29.787502270145644</v>
      </c>
      <c r="L44" s="111">
        <f>'Equations HSC-AD'!I248</f>
        <v>10.768755071013221</v>
      </c>
      <c r="M44" s="113">
        <f>'Equations HSC-AD'!J248</f>
        <v>7.3262327347966609</v>
      </c>
      <c r="N44" s="111" t="str">
        <f>'Equations HSC-AD'!K248</f>
        <v>&lt; 5</v>
      </c>
      <c r="O44" s="113" t="str">
        <f>'Equations HSC-AD'!L248</f>
        <v>&lt; 5</v>
      </c>
      <c r="P44" s="266" t="str">
        <f>'Equations HSC-AD'!M248</f>
        <v>&lt; 5</v>
      </c>
      <c r="Q44" s="131"/>
      <c r="R44" s="57"/>
      <c r="S44" s="57"/>
      <c r="T44" s="57"/>
      <c r="U44" s="57"/>
      <c r="V44" s="14"/>
      <c r="W44" s="14"/>
      <c r="X44" s="14"/>
      <c r="Y44" s="15"/>
    </row>
    <row r="45" spans="2:25" ht="21" customHeight="1">
      <c r="B45" s="13"/>
      <c r="C45" s="38" t="s">
        <v>115</v>
      </c>
      <c r="D45" s="18"/>
      <c r="E45" s="288"/>
      <c r="F45" s="111">
        <f>'Equations HSC-AD'!C249</f>
        <v>677.48127517031128</v>
      </c>
      <c r="G45" s="112">
        <f>'Equations HSC-AD'!D249</f>
        <v>543.4126313247192</v>
      </c>
      <c r="H45" s="111">
        <f>'Equations HSC-AD'!E249</f>
        <v>168.33599865331203</v>
      </c>
      <c r="I45" s="112">
        <f>'Equations HSC-AD'!F249</f>
        <v>106.04203977754736</v>
      </c>
      <c r="J45" s="111">
        <f>'Equations HSC-AD'!G249</f>
        <v>49.503725155317937</v>
      </c>
      <c r="K45" s="112">
        <f>'Equations HSC-AD'!H249</f>
        <v>35.506880444388329</v>
      </c>
      <c r="L45" s="111">
        <f>'Equations HSC-AD'!I249</f>
        <v>12.175435470826864</v>
      </c>
      <c r="M45" s="113" t="str">
        <f>'Equations HSC-AD'!J249</f>
        <v>&lt; 10</v>
      </c>
      <c r="N45" s="111" t="str">
        <f>'Equations HSC-AD'!K249</f>
        <v>&lt; 10</v>
      </c>
      <c r="O45" s="113" t="str">
        <f>'Equations HSC-AD'!L249</f>
        <v>&lt; 10</v>
      </c>
      <c r="P45" s="257" t="str">
        <f>'Equations HSC-AD'!M249</f>
        <v>&lt; 10</v>
      </c>
      <c r="Q45" s="14"/>
      <c r="R45" s="14"/>
      <c r="S45" s="14"/>
      <c r="T45" s="14"/>
      <c r="U45" s="14"/>
      <c r="V45" s="14"/>
      <c r="W45" s="14"/>
      <c r="X45" s="14"/>
      <c r="Y45" s="15"/>
    </row>
    <row r="46" spans="2:25" ht="21" customHeight="1">
      <c r="B46" s="13"/>
      <c r="C46" s="94" t="s">
        <v>344</v>
      </c>
      <c r="D46" s="95"/>
      <c r="E46" s="290"/>
      <c r="F46" s="117">
        <f>'Equations HSC-AD'!C250</f>
        <v>60</v>
      </c>
      <c r="G46" s="118">
        <f>'Equations HSC-AD'!D250</f>
        <v>60</v>
      </c>
      <c r="H46" s="119">
        <f>'Equations HSC-AD'!E250</f>
        <v>60</v>
      </c>
      <c r="I46" s="118">
        <f>'Equations HSC-AD'!F250</f>
        <v>60</v>
      </c>
      <c r="J46" s="119">
        <f>'Equations HSC-AD'!G250</f>
        <v>60</v>
      </c>
      <c r="K46" s="118">
        <f>'Equations HSC-AD'!H250</f>
        <v>60</v>
      </c>
      <c r="L46" s="119">
        <f>'Equations HSC-AD'!I250</f>
        <v>60</v>
      </c>
      <c r="M46" s="120">
        <f>'Equations HSC-AD'!J250</f>
        <v>60</v>
      </c>
      <c r="N46" s="119">
        <f>'Equations HSC-AD'!K250</f>
        <v>60</v>
      </c>
      <c r="O46" s="120">
        <f>'Equations HSC-AD'!L250</f>
        <v>60</v>
      </c>
      <c r="P46" s="264">
        <f>'Equations HSC-AD'!M250</f>
        <v>60</v>
      </c>
      <c r="Q46" s="14"/>
      <c r="R46" s="14"/>
      <c r="S46" s="14"/>
      <c r="T46" s="14"/>
      <c r="U46" s="14"/>
      <c r="V46" s="14"/>
      <c r="W46" s="14"/>
      <c r="X46" s="14"/>
      <c r="Y46" s="15"/>
    </row>
    <row r="47" spans="2:25" ht="21" customHeight="1">
      <c r="B47" s="13"/>
      <c r="C47" s="99" t="s">
        <v>52</v>
      </c>
      <c r="D47" s="100"/>
      <c r="E47" s="292"/>
      <c r="F47" s="121">
        <f>'Equations HSC-AD'!C251</f>
        <v>86.1895157460131</v>
      </c>
      <c r="G47" s="122">
        <f>'Equations HSC-AD'!D251</f>
        <v>81.575058630981218</v>
      </c>
      <c r="H47" s="123">
        <f>'Equations HSC-AD'!E251</f>
        <v>70.338785654650522</v>
      </c>
      <c r="I47" s="122">
        <f>'Equations HSC-AD'!F251</f>
        <v>61.19301918837813</v>
      </c>
      <c r="J47" s="123">
        <f>'Equations HSC-AD'!G251</f>
        <v>51.333043021697023</v>
      </c>
      <c r="K47" s="122">
        <f>'Equations HSC-AD'!H251</f>
        <v>45.981391585491394</v>
      </c>
      <c r="L47" s="123">
        <f>'Equations HSC-AD'!I251</f>
        <v>32.947462894001305</v>
      </c>
      <c r="M47" s="124">
        <f>'Equations HSC-AD'!J251</f>
        <v>29.070295652007125</v>
      </c>
      <c r="N47" s="123" t="str">
        <f>'Equations HSC-AD'!K251</f>
        <v>&lt; 20</v>
      </c>
      <c r="O47" s="124" t="str">
        <f>'Equations HSC-AD'!L251</f>
        <v>&lt; 20</v>
      </c>
      <c r="P47" s="265" t="str">
        <f>'Equations HSC-AD'!M251</f>
        <v>&lt; 20</v>
      </c>
      <c r="Q47" s="14"/>
      <c r="R47" s="14"/>
      <c r="S47" s="14"/>
      <c r="T47" s="14"/>
      <c r="U47" s="14"/>
      <c r="V47" s="14"/>
      <c r="W47" s="14"/>
      <c r="X47" s="14"/>
      <c r="Y47" s="15"/>
    </row>
    <row r="48" spans="2:25" ht="21" customHeight="1">
      <c r="B48" s="13"/>
      <c r="C48" s="38" t="str">
        <f>IF('Equations HSC-AD'!C25,"Guide Ring Position* @ 'ΔT (heating)'","Max Recommended ΔT (heating) [K]")</f>
        <v>Max Recommended ΔT (heating) [K]</v>
      </c>
      <c r="D48" s="55"/>
      <c r="E48" s="288"/>
      <c r="F48" s="230">
        <f>'Equations HSC-AD'!C252</f>
        <v>81.006510161469393</v>
      </c>
      <c r="G48" s="231">
        <f>'Equations HSC-AD'!D252</f>
        <v>56.796294328772881</v>
      </c>
      <c r="H48" s="232">
        <f>'Equations HSC-AD'!E252</f>
        <v>28.228606066022376</v>
      </c>
      <c r="I48" s="231">
        <f>'Equations HSC-AD'!F252</f>
        <v>19.836039660967703</v>
      </c>
      <c r="J48" s="232">
        <f>'Equations HSC-AD'!G252</f>
        <v>10.125813770183674</v>
      </c>
      <c r="K48" s="231">
        <f>'Equations HSC-AD'!H252</f>
        <v>7.0995367910966101</v>
      </c>
      <c r="L48" s="232">
        <f>'Equations HSC-AD'!I252</f>
        <v>3.528575758252797</v>
      </c>
      <c r="M48" s="233">
        <f>'Equations HSC-AD'!J252</f>
        <v>2.4795049576209629</v>
      </c>
      <c r="N48" s="232">
        <f>'Equations HSC-AD'!K252</f>
        <v>1.2611954843367388</v>
      </c>
      <c r="O48" s="233" t="str">
        <f>'Equations HSC-AD'!L252</f>
        <v>&lt; +1 K</v>
      </c>
      <c r="P48" s="259" t="str">
        <f>'Equations HSC-AD'!M252</f>
        <v>&lt; +1 K</v>
      </c>
      <c r="Q48" s="334" t="s">
        <v>395</v>
      </c>
      <c r="R48" s="14"/>
      <c r="S48" s="14"/>
      <c r="T48" s="14"/>
      <c r="U48" s="14"/>
      <c r="V48" s="14"/>
      <c r="W48" s="14"/>
      <c r="X48" s="14"/>
      <c r="Y48" s="15"/>
    </row>
    <row r="49" spans="2:25" ht="21" customHeight="1">
      <c r="B49" s="13"/>
      <c r="C49" s="94" t="s">
        <v>100</v>
      </c>
      <c r="D49" s="95"/>
      <c r="E49" s="290"/>
      <c r="F49" s="117">
        <f>'Equations HSC-AD'!C253</f>
        <v>16</v>
      </c>
      <c r="G49" s="118">
        <f>'Equations HSC-AD'!D253</f>
        <v>16</v>
      </c>
      <c r="H49" s="119">
        <f>'Equations HSC-AD'!E253</f>
        <v>16</v>
      </c>
      <c r="I49" s="118">
        <f>'Equations HSC-AD'!F253</f>
        <v>16</v>
      </c>
      <c r="J49" s="119">
        <f>'Equations HSC-AD'!G253</f>
        <v>16</v>
      </c>
      <c r="K49" s="118">
        <f>'Equations HSC-AD'!H253</f>
        <v>16</v>
      </c>
      <c r="L49" s="119">
        <f>'Equations HSC-AD'!I253</f>
        <v>16</v>
      </c>
      <c r="M49" s="120">
        <f>'Equations HSC-AD'!J253</f>
        <v>16</v>
      </c>
      <c r="N49" s="119">
        <f>'Equations HSC-AD'!K253</f>
        <v>16</v>
      </c>
      <c r="O49" s="120">
        <f>'Equations HSC-AD'!L253</f>
        <v>16</v>
      </c>
      <c r="P49" s="264" t="str">
        <f>'Equations HSC-AD'!M253</f>
        <v>-</v>
      </c>
      <c r="Q49" s="131" t="s">
        <v>229</v>
      </c>
      <c r="R49" s="269" t="s">
        <v>275</v>
      </c>
      <c r="S49" s="14"/>
      <c r="T49" s="14"/>
      <c r="U49" s="256"/>
      <c r="V49" s="14"/>
      <c r="W49" s="14"/>
      <c r="X49" s="14"/>
      <c r="Y49" s="15"/>
    </row>
    <row r="50" spans="2:25" ht="21" customHeight="1">
      <c r="B50" s="13"/>
      <c r="C50" s="38" t="s">
        <v>90</v>
      </c>
      <c r="D50" s="18"/>
      <c r="E50" s="288"/>
      <c r="F50" s="111" t="str">
        <f>'Equations HSC-AD'!C254</f>
        <v>-</v>
      </c>
      <c r="G50" s="112">
        <f>'Equations HSC-AD'!D254</f>
        <v>44.5</v>
      </c>
      <c r="H50" s="111">
        <f>'Equations HSC-AD'!E254</f>
        <v>19.600000000000001</v>
      </c>
      <c r="I50" s="112">
        <f>'Equations HSC-AD'!F254</f>
        <v>17.2</v>
      </c>
      <c r="J50" s="111">
        <f>'Equations HSC-AD'!G254</f>
        <v>15.5</v>
      </c>
      <c r="K50" s="112">
        <f>'Equations HSC-AD'!H254</f>
        <v>14.9</v>
      </c>
      <c r="L50" s="111">
        <f>'Equations HSC-AD'!I254</f>
        <v>13.6</v>
      </c>
      <c r="M50" s="113">
        <f>'Equations HSC-AD'!J254</f>
        <v>13.4</v>
      </c>
      <c r="N50" s="111">
        <f>'Equations HSC-AD'!K254</f>
        <v>13</v>
      </c>
      <c r="O50" s="113">
        <f>'Equations HSC-AD'!L254</f>
        <v>12.9</v>
      </c>
      <c r="P50" s="257">
        <f>'Equations HSC-AD'!M254</f>
        <v>12.7</v>
      </c>
      <c r="Q50" s="14"/>
      <c r="R50" s="14"/>
      <c r="S50" s="14"/>
      <c r="T50" s="14"/>
      <c r="U50" s="14"/>
      <c r="V50" s="14"/>
      <c r="W50" s="14"/>
      <c r="X50" s="14"/>
      <c r="Y50" s="15"/>
    </row>
    <row r="51" spans="2:25" ht="21" customHeight="1">
      <c r="B51" s="13"/>
      <c r="C51" s="38" t="s">
        <v>91</v>
      </c>
      <c r="D51" s="18"/>
      <c r="E51" s="293"/>
      <c r="F51" s="278" t="str">
        <f>'Equations HSC-AD'!C255</f>
        <v>-</v>
      </c>
      <c r="G51" s="279">
        <f>'Equations HSC-AD'!D255</f>
        <v>31.2</v>
      </c>
      <c r="H51" s="276">
        <f>'Equations HSC-AD'!E255</f>
        <v>7</v>
      </c>
      <c r="I51" s="280">
        <f>'Equations HSC-AD'!F255</f>
        <v>6.3</v>
      </c>
      <c r="J51" s="278">
        <f>'Equations HSC-AD'!G255</f>
        <v>5.7</v>
      </c>
      <c r="K51" s="280">
        <f>'Equations HSC-AD'!H255</f>
        <v>5.5</v>
      </c>
      <c r="L51" s="276">
        <f>'Equations HSC-AD'!I255</f>
        <v>5.0999999999999996</v>
      </c>
      <c r="M51" s="280">
        <f>'Equations HSC-AD'!J255</f>
        <v>5.0999999999999996</v>
      </c>
      <c r="N51" s="276">
        <f>'Equations HSC-AD'!K255</f>
        <v>4.9000000000000004</v>
      </c>
      <c r="O51" s="112">
        <f>'Equations HSC-AD'!L255</f>
        <v>4.9000000000000004</v>
      </c>
      <c r="P51" s="277">
        <f>'Equations HSC-AD'!M255</f>
        <v>4.8</v>
      </c>
      <c r="Q51" s="335" t="str">
        <f>IF('Equations HSC-AD'!N319,"Min Distance &gt; Max Distance. Consider increasing turndown to (Cell E11)","")</f>
        <v/>
      </c>
      <c r="R51" s="14"/>
      <c r="S51" s="14"/>
      <c r="T51" s="14"/>
      <c r="U51" s="14"/>
      <c r="V51" s="14"/>
      <c r="W51" s="14"/>
      <c r="X51" s="14"/>
      <c r="Y51" s="15"/>
    </row>
    <row r="52" spans="2:25" ht="21" customHeight="1">
      <c r="B52" s="13"/>
      <c r="C52" s="94" t="s">
        <v>245</v>
      </c>
      <c r="D52" s="95"/>
      <c r="E52" s="290"/>
      <c r="F52" s="272">
        <f>'Equations HSC-AD'!C256</f>
        <v>2.8</v>
      </c>
      <c r="G52" s="273">
        <f>'Equations HSC-AD'!D256</f>
        <v>2.8</v>
      </c>
      <c r="H52" s="274">
        <f>'Equations HSC-AD'!E256</f>
        <v>2.8</v>
      </c>
      <c r="I52" s="273">
        <f>'Equations HSC-AD'!F256</f>
        <v>3.3</v>
      </c>
      <c r="J52" s="274">
        <f>'Equations HSC-AD'!G256</f>
        <v>3.9</v>
      </c>
      <c r="K52" s="273">
        <f>'Equations HSC-AD'!H256</f>
        <v>4.4000000000000004</v>
      </c>
      <c r="L52" s="274">
        <f>'Equations HSC-AD'!I256</f>
        <v>5</v>
      </c>
      <c r="M52" s="275">
        <f>'Equations HSC-AD'!J256</f>
        <v>5.5</v>
      </c>
      <c r="N52" s="274">
        <f>'Equations HSC-AD'!K256</f>
        <v>6.1</v>
      </c>
      <c r="O52" s="273">
        <f>'Equations HSC-AD'!L256</f>
        <v>6.6</v>
      </c>
      <c r="P52" s="258">
        <f>'Equations HSC-AD'!M256</f>
        <v>7.2</v>
      </c>
      <c r="Q52" s="234"/>
      <c r="R52" s="268"/>
      <c r="S52" s="14"/>
      <c r="T52" s="14"/>
      <c r="U52" s="14"/>
      <c r="V52" s="14"/>
      <c r="W52" s="14"/>
      <c r="X52" s="14"/>
      <c r="Y52" s="15"/>
    </row>
    <row r="53" spans="2:25" ht="21" customHeight="1">
      <c r="B53" s="13"/>
      <c r="C53" s="38" t="s">
        <v>327</v>
      </c>
      <c r="D53" s="18"/>
      <c r="E53" s="288"/>
      <c r="F53" s="125" t="str">
        <f>'Equations HSC-AD'!C257</f>
        <v/>
      </c>
      <c r="G53" s="126">
        <f>'Equations HSC-AD'!D257</f>
        <v>0.19567004622782422</v>
      </c>
      <c r="H53" s="125">
        <f>'Equations HSC-AD'!E257</f>
        <v>0.16850724821379665</v>
      </c>
      <c r="I53" s="126">
        <f>'Equations HSC-AD'!F257</f>
        <v>0.16050972826720425</v>
      </c>
      <c r="J53" s="125">
        <f>'Equations HSC-AD'!G257</f>
        <v>0.1518734169456642</v>
      </c>
      <c r="K53" s="126">
        <f>'Equations HSC-AD'!H257</f>
        <v>0.14797008427974329</v>
      </c>
      <c r="L53" s="125">
        <f>'Equations HSC-AD'!I257</f>
        <v>0.13746554763987573</v>
      </c>
      <c r="M53" s="127">
        <f>'Equations HSC-AD'!J257</f>
        <v>0.13544485851670043</v>
      </c>
      <c r="N53" s="125">
        <f>'Equations HSC-AD'!K257</f>
        <v>0.13077611918267668</v>
      </c>
      <c r="O53" s="127">
        <f>'Equations HSC-AD'!L257</f>
        <v>0.12969573177628821</v>
      </c>
      <c r="P53" s="263">
        <f>'Equations HSC-AD'!M257</f>
        <v>0.12699824512437655</v>
      </c>
      <c r="Q53" s="336" t="s">
        <v>130</v>
      </c>
      <c r="R53" s="132" t="str">
        <f>"Comfort criteria valid for diffuser spacing of "&amp;ROUND('Equations HSC-AD'!C200,1) &amp; " m "&amp; "&amp; room temperature of "&amp; L23&amp;" °C"</f>
        <v>Comfort criteria valid for diffuser spacing of 10.1 m &amp; room temperature of 23 °C</v>
      </c>
      <c r="S53" s="14"/>
      <c r="T53" s="14"/>
      <c r="U53" s="14"/>
      <c r="V53" s="14"/>
      <c r="W53" s="14"/>
      <c r="X53" s="14"/>
      <c r="Y53" s="15"/>
    </row>
    <row r="54" spans="2:25" ht="21" customHeight="1">
      <c r="B54" s="13"/>
      <c r="C54" s="38" t="s">
        <v>326</v>
      </c>
      <c r="D54" s="18"/>
      <c r="E54" s="288"/>
      <c r="F54" s="128" t="str">
        <f>'Equations HSC-AD'!C258</f>
        <v/>
      </c>
      <c r="G54" s="129">
        <f>'Equations HSC-AD'!D258</f>
        <v>0.20110621004842349</v>
      </c>
      <c r="H54" s="128">
        <f>'Equations HSC-AD'!E258</f>
        <v>0.1651673597429241</v>
      </c>
      <c r="I54" s="129">
        <f>'Equations HSC-AD'!F258</f>
        <v>0.15484220735855339</v>
      </c>
      <c r="J54" s="128">
        <f>'Equations HSC-AD'!G258</f>
        <v>0.14381228061084747</v>
      </c>
      <c r="K54" s="129">
        <f>'Equations HSC-AD'!H258</f>
        <v>0.13886550225175667</v>
      </c>
      <c r="L54" s="128">
        <f>'Equations HSC-AD'!I258</f>
        <v>0.1256606200025619</v>
      </c>
      <c r="M54" s="130">
        <f>'Equations HSC-AD'!J258</f>
        <v>0.12313690105035428</v>
      </c>
      <c r="N54" s="128">
        <f>'Equations HSC-AD'!K258</f>
        <v>0.11732371808857341</v>
      </c>
      <c r="O54" s="130">
        <f>'Equations HSC-AD'!L258</f>
        <v>0.11598177533501954</v>
      </c>
      <c r="P54" s="260">
        <f>'Equations HSC-AD'!M258</f>
        <v>0.11263611474463758</v>
      </c>
      <c r="Q54" s="131"/>
      <c r="R54" s="303" t="s">
        <v>318</v>
      </c>
      <c r="S54" s="14"/>
      <c r="T54" s="14"/>
      <c r="U54" s="14"/>
      <c r="V54" s="14"/>
      <c r="W54" s="14"/>
      <c r="X54" s="14"/>
      <c r="Y54" s="15"/>
    </row>
    <row r="55" spans="2:25" ht="21" customHeight="1">
      <c r="B55" s="13"/>
      <c r="C55" s="38" t="s">
        <v>82</v>
      </c>
      <c r="D55" s="18"/>
      <c r="E55" s="288"/>
      <c r="F55" s="128" t="str">
        <f>'Equations HSC-AD'!C259</f>
        <v/>
      </c>
      <c r="G55" s="129">
        <f>'Equations HSC-AD'!D259</f>
        <v>0.10049840637212619</v>
      </c>
      <c r="H55" s="128">
        <f>'Equations HSC-AD'!E259</f>
        <v>8.4931968297955268E-2</v>
      </c>
      <c r="I55" s="129">
        <f>'Equations HSC-AD'!F259</f>
        <v>8.0698606429472963E-2</v>
      </c>
      <c r="J55" s="128">
        <f>'Equations HSC-AD'!G259</f>
        <v>7.6294056179958436E-2</v>
      </c>
      <c r="K55" s="129">
        <f>'Equations HSC-AD'!H259</f>
        <v>7.4358189420755477E-2</v>
      </c>
      <c r="L55" s="128">
        <f>'Equations HSC-AD'!I259</f>
        <v>6.9310450710354604E-2</v>
      </c>
      <c r="M55" s="130">
        <f>'Equations HSC-AD'!J259</f>
        <v>6.836557346273095E-2</v>
      </c>
      <c r="N55" s="128">
        <f>'Equations HSC-AD'!K259</f>
        <v>6.6213356935206871E-2</v>
      </c>
      <c r="O55" s="130">
        <f>'Equations HSC-AD'!L259</f>
        <v>6.5721329938686346E-2</v>
      </c>
      <c r="P55" s="260">
        <f>'Equations HSC-AD'!M259</f>
        <v>6.4502475858542976E-2</v>
      </c>
      <c r="Q55" s="131"/>
      <c r="R55" s="271"/>
      <c r="S55" s="14"/>
      <c r="T55" s="14"/>
      <c r="U55" s="14"/>
      <c r="V55" s="14"/>
      <c r="W55" s="14"/>
      <c r="X55" s="14"/>
      <c r="Y55" s="15"/>
    </row>
    <row r="56" spans="2:25" ht="21" customHeight="1">
      <c r="B56" s="13"/>
      <c r="C56" s="38" t="s">
        <v>325</v>
      </c>
      <c r="D56" s="38"/>
      <c r="E56" s="288"/>
      <c r="F56" s="128" t="str">
        <f>'Equations HSC-AD'!C260</f>
        <v/>
      </c>
      <c r="G56" s="129" t="str">
        <f>'Equations HSC-AD'!D260</f>
        <v>C</v>
      </c>
      <c r="H56" s="128" t="str">
        <f>'Equations HSC-AD'!E260</f>
        <v>B</v>
      </c>
      <c r="I56" s="129" t="str">
        <f>'Equations HSC-AD'!F260</f>
        <v>B</v>
      </c>
      <c r="J56" s="128" t="str">
        <f>'Equations HSC-AD'!G260</f>
        <v>B</v>
      </c>
      <c r="K56" s="129" t="str">
        <f>'Equations HSC-AD'!H260</f>
        <v>B</v>
      </c>
      <c r="L56" s="128" t="str">
        <f>'Equations HSC-AD'!I260</f>
        <v>B</v>
      </c>
      <c r="M56" s="130" t="str">
        <f>'Equations HSC-AD'!J260</f>
        <v>B</v>
      </c>
      <c r="N56" s="128" t="str">
        <f>'Equations HSC-AD'!K260</f>
        <v>B</v>
      </c>
      <c r="O56" s="130" t="str">
        <f>'Equations HSC-AD'!L260</f>
        <v>B</v>
      </c>
      <c r="P56" s="260" t="str">
        <f>'Equations HSC-AD'!M260</f>
        <v>B</v>
      </c>
      <c r="Q56" s="270"/>
      <c r="R56" s="271"/>
      <c r="S56" s="14"/>
      <c r="T56" s="14"/>
      <c r="U56" s="14"/>
      <c r="V56" s="14"/>
      <c r="W56" s="14"/>
      <c r="X56" s="14"/>
      <c r="Y56" s="15"/>
    </row>
    <row r="57" spans="2:25" ht="21" customHeight="1">
      <c r="B57" s="13"/>
      <c r="C57" s="38" t="s">
        <v>328</v>
      </c>
      <c r="D57" s="39"/>
      <c r="E57" s="287"/>
      <c r="F57" s="342" t="str">
        <f>'Equations HSC-AD'!C261</f>
        <v/>
      </c>
      <c r="G57" s="343">
        <f>'Equations HSC-AD'!D261</f>
        <v>0.51260446429766171</v>
      </c>
      <c r="H57" s="344">
        <f>'Equations HSC-AD'!E261</f>
        <v>0.42347964280285</v>
      </c>
      <c r="I57" s="343">
        <f>'Equations HSC-AD'!F261</f>
        <v>0.39425664458028431</v>
      </c>
      <c r="J57" s="344">
        <f>'Equations HSC-AD'!G261</f>
        <v>0.36080313810144882</v>
      </c>
      <c r="K57" s="343">
        <f>'Equations HSC-AD'!H261</f>
        <v>0.34495728576085727</v>
      </c>
      <c r="L57" s="344">
        <f>'Equations HSC-AD'!I261</f>
        <v>0.2997230155325975</v>
      </c>
      <c r="M57" s="345">
        <f>'Equations HSC-AD'!J261</f>
        <v>0.29053862533231078</v>
      </c>
      <c r="N57" s="344">
        <f>'Equations HSC-AD'!K261</f>
        <v>0.26864613588902619</v>
      </c>
      <c r="O57" s="345">
        <f>'Equations HSC-AD'!L261</f>
        <v>0.26343833580481069</v>
      </c>
      <c r="P57" s="261">
        <f>'Equations HSC-AD'!M261</f>
        <v>0.25018750329358463</v>
      </c>
      <c r="Q57" s="14"/>
      <c r="R57" s="14"/>
      <c r="S57" s="14"/>
      <c r="T57" s="14"/>
      <c r="U57" s="14"/>
      <c r="V57" s="14"/>
      <c r="W57" s="14"/>
      <c r="X57" s="14"/>
      <c r="Y57" s="15"/>
    </row>
    <row r="58" spans="2:25" ht="21" customHeight="1" thickBot="1">
      <c r="B58" s="13"/>
      <c r="C58" s="209" t="s">
        <v>176</v>
      </c>
      <c r="D58" s="210"/>
      <c r="E58" s="294"/>
      <c r="F58" s="211" t="str">
        <f>'Equations HSC-AD'!C262</f>
        <v>n.r.</v>
      </c>
      <c r="G58" s="212" t="str">
        <f>'Equations HSC-AD'!D262</f>
        <v>n.r.</v>
      </c>
      <c r="H58" s="213" t="str">
        <f>'Equations HSC-AD'!E262</f>
        <v>n.r.</v>
      </c>
      <c r="I58" s="212" t="str">
        <f>'Equations HSC-AD'!F262</f>
        <v>n.r.</v>
      </c>
      <c r="J58" s="213">
        <f>'Equations HSC-AD'!G262</f>
        <v>30</v>
      </c>
      <c r="K58" s="212">
        <f>'Equations HSC-AD'!H262</f>
        <v>26</v>
      </c>
      <c r="L58" s="213">
        <f>'Equations HSC-AD'!I262</f>
        <v>24</v>
      </c>
      <c r="M58" s="214">
        <f>'Equations HSC-AD'!J262</f>
        <v>22</v>
      </c>
      <c r="N58" s="213">
        <f>'Equations HSC-AD'!K262</f>
        <v>22</v>
      </c>
      <c r="O58" s="214">
        <f>'Equations HSC-AD'!L262</f>
        <v>22</v>
      </c>
      <c r="P58" s="262" t="str">
        <f>'Equations HSC-AD'!M262</f>
        <v>-</v>
      </c>
      <c r="Q58" s="333" t="s">
        <v>319</v>
      </c>
      <c r="R58" s="14"/>
      <c r="S58" s="14"/>
      <c r="T58" s="14"/>
      <c r="U58" s="14"/>
      <c r="V58" s="14"/>
      <c r="W58" s="14"/>
      <c r="X58" s="14"/>
      <c r="Y58" s="15"/>
    </row>
    <row r="59" spans="2:25" ht="15.75">
      <c r="B59" s="13"/>
      <c r="C59" s="38"/>
      <c r="D59" s="18"/>
      <c r="E59" s="14"/>
      <c r="F59" s="91"/>
      <c r="G59" s="91"/>
      <c r="H59" s="91"/>
      <c r="I59" s="91"/>
      <c r="J59" s="91"/>
      <c r="K59" s="91"/>
      <c r="L59" s="91"/>
      <c r="M59" s="91"/>
      <c r="N59" s="91"/>
      <c r="O59" s="91"/>
      <c r="P59" s="91"/>
      <c r="Q59" s="14"/>
      <c r="R59" s="14"/>
      <c r="S59" s="14"/>
      <c r="T59" s="14"/>
      <c r="U59" s="14"/>
      <c r="V59" s="14"/>
      <c r="W59" s="14"/>
      <c r="X59" s="14"/>
      <c r="Y59" s="15"/>
    </row>
    <row r="60" spans="2:25" ht="19.5">
      <c r="B60" s="135"/>
      <c r="C60" s="143" t="s">
        <v>178</v>
      </c>
      <c r="D60" s="70"/>
      <c r="E60" s="64"/>
      <c r="F60" s="64"/>
      <c r="G60" s="64"/>
      <c r="H60" s="64"/>
      <c r="I60" s="136"/>
      <c r="J60" s="64"/>
      <c r="K60" s="137"/>
      <c r="L60" s="64"/>
      <c r="M60" s="137"/>
      <c r="N60" s="64"/>
      <c r="O60" s="64"/>
      <c r="P60" s="64"/>
      <c r="Q60" s="64"/>
      <c r="R60" s="64"/>
      <c r="S60" s="64"/>
      <c r="T60" s="64"/>
      <c r="U60" s="64"/>
      <c r="V60" s="64"/>
      <c r="W60" s="64"/>
      <c r="X60" s="64"/>
      <c r="Y60" s="65"/>
    </row>
    <row r="61" spans="2:25" ht="15" customHeight="1">
      <c r="B61" s="135"/>
      <c r="C61" s="133"/>
      <c r="D61" s="70"/>
      <c r="E61" s="64"/>
      <c r="F61" s="64"/>
      <c r="G61" s="64"/>
      <c r="H61" s="64"/>
      <c r="I61" s="136"/>
      <c r="J61" s="64"/>
      <c r="K61" s="137"/>
      <c r="L61" s="64"/>
      <c r="M61" s="137"/>
      <c r="N61" s="64"/>
      <c r="O61" s="64"/>
      <c r="P61" s="64"/>
      <c r="Q61" s="64"/>
      <c r="R61" s="64"/>
      <c r="S61" s="64"/>
      <c r="T61" s="64"/>
      <c r="U61" s="64"/>
      <c r="V61" s="64"/>
      <c r="W61" s="64"/>
      <c r="X61" s="64"/>
      <c r="Y61" s="65"/>
    </row>
    <row r="62" spans="2:25" ht="19.5" customHeight="1">
      <c r="B62" s="135"/>
      <c r="C62" s="354" t="s">
        <v>177</v>
      </c>
      <c r="D62" s="354"/>
      <c r="E62" s="354"/>
      <c r="F62" s="64"/>
      <c r="G62" s="64"/>
      <c r="H62" s="64"/>
      <c r="I62" s="136"/>
      <c r="J62" s="64"/>
      <c r="K62" s="137"/>
      <c r="L62" s="64"/>
      <c r="M62" s="137"/>
      <c r="N62" s="64"/>
      <c r="O62" s="64"/>
      <c r="P62" s="64"/>
      <c r="Q62" s="64"/>
      <c r="R62" s="64"/>
      <c r="S62" s="64"/>
      <c r="T62" s="64"/>
      <c r="U62" s="64"/>
      <c r="V62" s="64"/>
      <c r="W62" s="64"/>
      <c r="X62" s="64"/>
      <c r="Y62" s="65"/>
    </row>
    <row r="63" spans="2:25" ht="12" customHeight="1">
      <c r="B63" s="135"/>
      <c r="C63" s="355"/>
      <c r="D63" s="355"/>
      <c r="E63" s="355"/>
      <c r="F63" s="235" t="s">
        <v>66</v>
      </c>
      <c r="G63" s="235" t="s">
        <v>65</v>
      </c>
      <c r="H63" s="235" t="s">
        <v>67</v>
      </c>
      <c r="I63" s="235" t="s">
        <v>68</v>
      </c>
      <c r="J63" s="235" t="s">
        <v>69</v>
      </c>
      <c r="K63" s="235" t="s">
        <v>70</v>
      </c>
      <c r="L63" s="235" t="s">
        <v>71</v>
      </c>
      <c r="M63" s="235" t="s">
        <v>72</v>
      </c>
      <c r="N63" s="235" t="s">
        <v>73</v>
      </c>
      <c r="O63" s="235" t="s">
        <v>74</v>
      </c>
      <c r="P63" s="235"/>
      <c r="Q63" s="64"/>
      <c r="R63" s="64"/>
      <c r="S63" s="64"/>
      <c r="T63" s="64"/>
      <c r="U63" s="64"/>
      <c r="V63" s="64"/>
      <c r="W63" s="64"/>
      <c r="X63" s="64"/>
      <c r="Y63" s="65"/>
    </row>
    <row r="64" spans="2:25" ht="25.15" customHeight="1">
      <c r="B64" s="135"/>
      <c r="C64" s="310" t="s">
        <v>366</v>
      </c>
      <c r="D64" s="310"/>
      <c r="E64" s="310"/>
      <c r="F64" s="235" t="str">
        <f>'HSC-AD data'!D38&amp;"*"</f>
        <v>C750*</v>
      </c>
      <c r="G64" s="235" t="str">
        <f>'HSC-AD data'!E38</f>
        <v>S595</v>
      </c>
      <c r="H64" s="235" t="str">
        <f>'HSC-AD data'!F38</f>
        <v>S603</v>
      </c>
      <c r="I64" s="235" t="str">
        <f>'HSC-AD data'!G38</f>
        <v>custom</v>
      </c>
      <c r="J64" s="235" t="str">
        <f>'HSC-AD data'!H38</f>
        <v>N/A</v>
      </c>
      <c r="K64" s="235"/>
      <c r="L64" s="235"/>
      <c r="M64" s="235"/>
      <c r="N64" s="64"/>
      <c r="O64" s="64"/>
      <c r="P64" s="235"/>
      <c r="Q64" s="64"/>
      <c r="R64" s="64"/>
      <c r="S64" s="64"/>
      <c r="T64" s="64"/>
      <c r="U64" s="64"/>
      <c r="V64" s="64"/>
      <c r="W64" s="64"/>
      <c r="X64" s="64"/>
      <c r="Y64" s="65"/>
    </row>
    <row r="65" spans="2:25" ht="25.05" customHeight="1">
      <c r="B65" s="135"/>
      <c r="C65" s="134" t="s">
        <v>211</v>
      </c>
      <c r="D65" s="138"/>
      <c r="E65" s="139"/>
      <c r="F65" s="145" t="s">
        <v>368</v>
      </c>
      <c r="G65" s="64"/>
      <c r="H65" s="328" t="str">
        <f>'HSC-AD data'!D25</f>
        <v>Electric motor 2-10V</v>
      </c>
      <c r="I65" s="64"/>
      <c r="J65" s="328" t="str">
        <f>'HSC-AD data'!D26</f>
        <v>Electric motor 2-position</v>
      </c>
      <c r="K65" s="145"/>
      <c r="L65" s="328" t="str">
        <f>'HSC-AD data'!D27</f>
        <v>Thermal actuator set to 26°C</v>
      </c>
      <c r="M65" s="137"/>
      <c r="N65" s="64"/>
      <c r="O65" s="64"/>
      <c r="P65" s="64"/>
      <c r="Q65" s="64"/>
      <c r="R65" s="64"/>
      <c r="S65" s="64"/>
      <c r="T65" s="64"/>
      <c r="U65" s="64"/>
      <c r="V65" s="64"/>
      <c r="W65" s="64"/>
      <c r="X65" s="64"/>
      <c r="Y65" s="65"/>
    </row>
    <row r="66" spans="2:25" ht="25.05" customHeight="1" thickBot="1">
      <c r="B66" s="135"/>
      <c r="C66" s="140" t="s">
        <v>131</v>
      </c>
      <c r="D66" s="141"/>
      <c r="E66" s="142"/>
      <c r="F66" s="148" t="s">
        <v>142</v>
      </c>
      <c r="G66" s="149"/>
      <c r="H66" s="148" t="s">
        <v>143</v>
      </c>
      <c r="I66" s="150"/>
      <c r="J66" s="148" t="s">
        <v>389</v>
      </c>
      <c r="K66" s="151"/>
      <c r="L66" s="147"/>
      <c r="M66" s="147"/>
      <c r="N66" s="147"/>
      <c r="O66" s="147"/>
      <c r="P66" s="64"/>
      <c r="Q66" s="64"/>
      <c r="R66" s="64"/>
      <c r="S66" s="64"/>
      <c r="T66" s="64"/>
      <c r="U66" s="64"/>
      <c r="V66" s="64"/>
      <c r="W66" s="64"/>
      <c r="X66" s="64"/>
      <c r="Y66" s="65"/>
    </row>
    <row r="67" spans="2:25" ht="27" customHeight="1">
      <c r="B67" s="135"/>
      <c r="C67" s="246"/>
      <c r="D67" s="64"/>
      <c r="E67" s="247" t="s">
        <v>132</v>
      </c>
      <c r="F67" s="351" t="str">
        <f>'HSC-AD data'!D53</f>
        <v>SMARTEMP HSC-AD-DN500-R0-C750-M-RAL9003</v>
      </c>
      <c r="G67" s="351"/>
      <c r="H67" s="351"/>
      <c r="I67" s="351"/>
      <c r="J67" s="351"/>
      <c r="K67" s="332" t="s">
        <v>144</v>
      </c>
      <c r="L67" s="146"/>
      <c r="M67" s="146"/>
      <c r="N67" s="64"/>
      <c r="O67" s="64"/>
      <c r="P67" s="64"/>
      <c r="Q67" s="64"/>
      <c r="R67" s="64"/>
      <c r="S67" s="64"/>
      <c r="T67" s="64"/>
      <c r="U67" s="64"/>
      <c r="V67" s="64"/>
      <c r="W67" s="64"/>
      <c r="X67" s="64"/>
      <c r="Y67" s="65"/>
    </row>
    <row r="68" spans="2:25" ht="24" customHeight="1">
      <c r="B68" s="135"/>
      <c r="C68" s="245"/>
      <c r="D68" s="64"/>
      <c r="E68" s="330" t="s">
        <v>265</v>
      </c>
      <c r="F68" s="64"/>
      <c r="G68" s="248" t="str">
        <f>IF('HSC-AD data'!$C$19=0,"","• "&amp;'HSC-AD data'!C64)</f>
        <v>• Diffuser HSC-AD-DN500-R0 (neck diameter 500 mm without reducer)</v>
      </c>
      <c r="H68" s="64"/>
      <c r="I68" s="136"/>
      <c r="J68" s="64"/>
      <c r="K68" s="152" t="s">
        <v>212</v>
      </c>
      <c r="L68" s="137"/>
      <c r="M68" s="137"/>
      <c r="N68" s="64"/>
      <c r="O68" s="64"/>
      <c r="P68" s="64"/>
      <c r="Q68" s="64"/>
      <c r="R68" s="64"/>
      <c r="S68" s="64"/>
      <c r="T68" s="64"/>
      <c r="U68" s="64"/>
      <c r="V68" s="64"/>
      <c r="W68" s="64"/>
      <c r="X68" s="64"/>
      <c r="Y68" s="65"/>
    </row>
    <row r="69" spans="2:25" ht="24" customHeight="1">
      <c r="B69" s="135"/>
      <c r="C69" s="64"/>
      <c r="D69" s="64"/>
      <c r="E69" s="64"/>
      <c r="F69" s="64"/>
      <c r="G69" s="248" t="str">
        <f>IF('HSC-AD data'!$C$19=0,"","• "&amp;'HSC-AD data'!C65)</f>
        <v>• 750 mm diameter circular face</v>
      </c>
      <c r="H69" s="64"/>
      <c r="I69" s="64"/>
      <c r="J69" s="64"/>
      <c r="K69" s="64"/>
      <c r="L69" s="64"/>
      <c r="M69" s="64"/>
      <c r="N69" s="64"/>
      <c r="O69" s="64"/>
      <c r="P69" s="64"/>
      <c r="Q69" s="64"/>
      <c r="R69" s="64"/>
      <c r="S69" s="64"/>
      <c r="T69" s="64"/>
      <c r="U69" s="64"/>
      <c r="V69" s="64"/>
      <c r="W69" s="64"/>
      <c r="X69" s="64"/>
      <c r="Y69" s="64"/>
    </row>
    <row r="70" spans="2:25" ht="24" customHeight="1">
      <c r="B70" s="135"/>
      <c r="C70" s="64"/>
      <c r="D70" s="64"/>
      <c r="E70" s="64"/>
      <c r="F70" s="64"/>
      <c r="G70" s="248" t="str">
        <f>IF('HSC-AD data'!C19=0,"","• "&amp;'HSC-AD data'!C66)</f>
        <v>• Manual adjustment</v>
      </c>
      <c r="H70" s="64"/>
      <c r="I70" s="64"/>
      <c r="J70" s="64"/>
      <c r="K70" s="331"/>
      <c r="L70" s="64"/>
      <c r="M70" s="64"/>
      <c r="N70" s="64"/>
      <c r="O70" s="64"/>
      <c r="P70" s="64"/>
      <c r="Q70" s="64"/>
      <c r="R70" s="64"/>
      <c r="S70" s="64"/>
      <c r="T70" s="64"/>
      <c r="U70" s="64"/>
      <c r="V70" s="64"/>
      <c r="W70" s="64"/>
      <c r="X70" s="64"/>
      <c r="Y70" s="64"/>
    </row>
    <row r="71" spans="2:25" ht="24" customHeight="1">
      <c r="B71" s="135"/>
      <c r="C71" s="64"/>
      <c r="D71" s="64"/>
      <c r="E71" s="64"/>
      <c r="F71" s="64"/>
      <c r="G71" s="248" t="str">
        <f>IF('HSC-AD data'!C19=0,"","• "&amp;'HSC-AD data'!C67)</f>
        <v>• Powder coated to RAL9003 (signal white)</v>
      </c>
      <c r="H71" s="64"/>
      <c r="I71" s="64"/>
      <c r="J71" s="64"/>
      <c r="K71" s="338" t="s">
        <v>266</v>
      </c>
      <c r="L71" s="64"/>
      <c r="M71" s="64"/>
      <c r="N71" s="64"/>
      <c r="O71" s="64"/>
      <c r="P71" s="64"/>
      <c r="Q71" s="64"/>
      <c r="R71" s="64"/>
      <c r="S71" s="64"/>
      <c r="T71" s="64"/>
      <c r="U71" s="64"/>
      <c r="V71" s="64"/>
      <c r="W71" s="64"/>
      <c r="X71" s="64"/>
      <c r="Y71" s="64"/>
    </row>
    <row r="72" spans="2:25" ht="24" customHeight="1">
      <c r="B72" s="135"/>
      <c r="C72" s="64"/>
      <c r="D72" s="64"/>
      <c r="E72" s="64"/>
      <c r="F72" s="64"/>
      <c r="G72" s="64"/>
      <c r="H72" s="64"/>
      <c r="I72" s="64"/>
      <c r="J72" s="64"/>
      <c r="K72" s="337"/>
      <c r="L72" s="64"/>
      <c r="M72" s="64"/>
      <c r="N72" s="64"/>
      <c r="O72" s="64"/>
      <c r="P72" s="64"/>
      <c r="Q72" s="64"/>
      <c r="R72" s="64"/>
      <c r="S72" s="64"/>
      <c r="T72" s="64"/>
      <c r="U72" s="64"/>
      <c r="V72" s="64"/>
      <c r="W72" s="64"/>
      <c r="X72" s="64"/>
      <c r="Y72" s="64"/>
    </row>
    <row r="73" spans="2:25">
      <c r="B73" s="135"/>
      <c r="C73" s="64"/>
      <c r="D73" s="64"/>
      <c r="E73" s="64"/>
      <c r="F73" s="64"/>
      <c r="G73" s="64"/>
      <c r="H73" s="64"/>
      <c r="I73" s="64"/>
      <c r="J73" s="64"/>
      <c r="K73" s="64"/>
      <c r="L73" s="64"/>
      <c r="M73" s="64"/>
      <c r="N73" s="64"/>
      <c r="O73" s="64"/>
      <c r="P73" s="64"/>
      <c r="Q73" s="64"/>
      <c r="R73" s="64"/>
      <c r="S73" s="64"/>
      <c r="T73" s="64"/>
      <c r="U73" s="64"/>
      <c r="V73" s="64"/>
      <c r="W73" s="64"/>
      <c r="X73" s="64"/>
      <c r="Y73" s="64"/>
    </row>
    <row r="74" spans="2:25" ht="17.25" customHeight="1">
      <c r="B74" s="193"/>
      <c r="C74" s="194"/>
      <c r="D74" s="195"/>
      <c r="E74" s="194"/>
      <c r="F74" s="196"/>
      <c r="G74" s="196"/>
      <c r="H74" s="196"/>
      <c r="I74" s="348" t="s">
        <v>170</v>
      </c>
      <c r="J74" s="348"/>
      <c r="K74" s="348"/>
      <c r="L74" s="348"/>
      <c r="M74" s="348"/>
      <c r="N74" s="196"/>
      <c r="O74" s="196"/>
      <c r="P74" s="196"/>
      <c r="Q74" s="194"/>
      <c r="R74" s="194"/>
      <c r="S74" s="349" t="s">
        <v>390</v>
      </c>
      <c r="T74" s="349"/>
      <c r="U74" s="349"/>
      <c r="V74" s="349"/>
      <c r="W74" s="349"/>
      <c r="X74" s="349"/>
      <c r="Y74" s="350"/>
    </row>
  </sheetData>
  <sheetProtection algorithmName="SHA-512" hashValue="w1oYx0cvlzlaDqcMPfaKf5I5domOjpnQdaeyp+wSNSPdF07SymKX7hYUcxUU4fZWwLu8oxk1hVYTIli1RYWxVA==" saltValue="97HzQTYGR0w/BFZTVQsvTQ==" spinCount="100000" sheet="1" selectLockedCells="1"/>
  <mergeCells count="8">
    <mergeCell ref="D5:H5"/>
    <mergeCell ref="I74:M74"/>
    <mergeCell ref="S74:Y74"/>
    <mergeCell ref="F67:J67"/>
    <mergeCell ref="N38:O38"/>
    <mergeCell ref="C62:E63"/>
    <mergeCell ref="P38:P39"/>
    <mergeCell ref="X7:Y7"/>
  </mergeCells>
  <conditionalFormatting sqref="F39:P58">
    <cfRule type="expression" dxfId="78" priority="128">
      <formula>OR((F$44&gt;$E$13),(F$40&lt;F$43),(F$42&lt;F$43))</formula>
    </cfRule>
  </conditionalFormatting>
  <conditionalFormatting sqref="F58">
    <cfRule type="expression" dxfId="77" priority="113">
      <formula>NOT(ISNUMBER($F$58))</formula>
    </cfRule>
  </conditionalFormatting>
  <conditionalFormatting sqref="G58">
    <cfRule type="expression" dxfId="76" priority="111">
      <formula>NOT(ISNUMBER($G$58))</formula>
    </cfRule>
  </conditionalFormatting>
  <conditionalFormatting sqref="H58">
    <cfRule type="expression" dxfId="75" priority="110">
      <formula>NOT(ISNUMBER($H$58))</formula>
    </cfRule>
  </conditionalFormatting>
  <conditionalFormatting sqref="I58">
    <cfRule type="expression" dxfId="74" priority="109">
      <formula>NOT(ISNUMBER($I$58))</formula>
    </cfRule>
  </conditionalFormatting>
  <conditionalFormatting sqref="J58">
    <cfRule type="expression" dxfId="73" priority="108">
      <formula>NOT(ISNUMBER($J$58))</formula>
    </cfRule>
  </conditionalFormatting>
  <conditionalFormatting sqref="K58">
    <cfRule type="expression" dxfId="72" priority="107">
      <formula>NOT(ISNUMBER($K$58))</formula>
    </cfRule>
  </conditionalFormatting>
  <conditionalFormatting sqref="L58">
    <cfRule type="expression" dxfId="71" priority="106">
      <formula>NOT(ISNUMBER($L$58))</formula>
    </cfRule>
  </conditionalFormatting>
  <conditionalFormatting sqref="M58">
    <cfRule type="expression" dxfId="70" priority="105">
      <formula>NOT(ISNUMBER($M$58))</formula>
    </cfRule>
  </conditionalFormatting>
  <conditionalFormatting sqref="F43:F44">
    <cfRule type="expression" dxfId="69" priority="92">
      <formula>$F$43&gt;$F$40</formula>
    </cfRule>
  </conditionalFormatting>
  <conditionalFormatting sqref="G43:G44">
    <cfRule type="expression" dxfId="68" priority="91">
      <formula>$G$43&gt;$G$40</formula>
    </cfRule>
  </conditionalFormatting>
  <conditionalFormatting sqref="H43">
    <cfRule type="expression" dxfId="67" priority="90">
      <formula>$H$43&gt;$H$40</formula>
    </cfRule>
  </conditionalFormatting>
  <conditionalFormatting sqref="I43">
    <cfRule type="expression" dxfId="66" priority="89">
      <formula>$I$43&gt;$I$40</formula>
    </cfRule>
  </conditionalFormatting>
  <conditionalFormatting sqref="J43">
    <cfRule type="expression" dxfId="65" priority="88">
      <formula>$J$43&gt;$J$40</formula>
    </cfRule>
  </conditionalFormatting>
  <conditionalFormatting sqref="K43">
    <cfRule type="expression" dxfId="64" priority="87">
      <formula>$K$43&gt;$K$40</formula>
    </cfRule>
  </conditionalFormatting>
  <conditionalFormatting sqref="L43">
    <cfRule type="expression" dxfId="63" priority="86">
      <formula>$L$43&gt;$L$40</formula>
    </cfRule>
  </conditionalFormatting>
  <conditionalFormatting sqref="M43">
    <cfRule type="expression" dxfId="62" priority="85">
      <formula>$M$43&gt;$M$40</formula>
    </cfRule>
  </conditionalFormatting>
  <conditionalFormatting sqref="N58">
    <cfRule type="expression" dxfId="61" priority="77">
      <formula>NOT(ISNUMBER($N$58))</formula>
    </cfRule>
  </conditionalFormatting>
  <conditionalFormatting sqref="O58:P58">
    <cfRule type="expression" dxfId="60" priority="76">
      <formula>NOT(ISNUMBER($O$58))</formula>
    </cfRule>
  </conditionalFormatting>
  <conditionalFormatting sqref="N43">
    <cfRule type="expression" dxfId="59" priority="73">
      <formula>$N$43&gt;$N$40</formula>
    </cfRule>
  </conditionalFormatting>
  <conditionalFormatting sqref="O43:P43">
    <cfRule type="expression" dxfId="58" priority="72">
      <formula>$O$43&gt;$O$40</formula>
    </cfRule>
  </conditionalFormatting>
  <conditionalFormatting sqref="N44:N45">
    <cfRule type="expression" dxfId="57" priority="69">
      <formula>NOT(ISNUMBER($N$45))</formula>
    </cfRule>
  </conditionalFormatting>
  <conditionalFormatting sqref="F44:F45">
    <cfRule type="expression" dxfId="56" priority="68">
      <formula>NOT(ISNUMBER($F$45))</formula>
    </cfRule>
  </conditionalFormatting>
  <conditionalFormatting sqref="G44:G45">
    <cfRule type="expression" dxfId="55" priority="66">
      <formula>NOT(ISNUMBER($G$45))</formula>
    </cfRule>
  </conditionalFormatting>
  <conditionalFormatting sqref="H44:H45">
    <cfRule type="expression" dxfId="54" priority="65">
      <formula>NOT(ISNUMBER($H$45))</formula>
    </cfRule>
  </conditionalFormatting>
  <conditionalFormatting sqref="I44:I45">
    <cfRule type="expression" dxfId="53" priority="64">
      <formula>NOT(ISNUMBER($I$45))</formula>
    </cfRule>
  </conditionalFormatting>
  <conditionalFormatting sqref="J44:J45">
    <cfRule type="expression" dxfId="52" priority="63">
      <formula>NOT(ISNUMBER($J$45))</formula>
    </cfRule>
  </conditionalFormatting>
  <conditionalFormatting sqref="K44:K45">
    <cfRule type="expression" dxfId="51" priority="62">
      <formula>NOT(ISNUMBER($K$45))</formula>
    </cfRule>
  </conditionalFormatting>
  <conditionalFormatting sqref="L44:L45">
    <cfRule type="expression" dxfId="50" priority="61">
      <formula>NOT(ISNUMBER($L$45))</formula>
    </cfRule>
  </conditionalFormatting>
  <conditionalFormatting sqref="M44:M45">
    <cfRule type="expression" dxfId="49" priority="60">
      <formula>NOT(ISNUMBER($M$45))</formula>
    </cfRule>
  </conditionalFormatting>
  <conditionalFormatting sqref="O44:P45">
    <cfRule type="expression" dxfId="48" priority="59">
      <formula>NOT(ISNUMBER($O$45))</formula>
    </cfRule>
  </conditionalFormatting>
  <conditionalFormatting sqref="O41:O42">
    <cfRule type="expression" dxfId="47" priority="17">
      <formula>$P$40&gt;$P$41</formula>
    </cfRule>
  </conditionalFormatting>
  <conditionalFormatting sqref="Q52">
    <cfRule type="expression" dxfId="46" priority="148">
      <formula>COUNTIF($F$52:$P$52,"&gt;"&amp;$E$15)</formula>
    </cfRule>
  </conditionalFormatting>
  <conditionalFormatting sqref="F44:P45 F41:P41">
    <cfRule type="expression" dxfId="45" priority="5">
      <formula>F$44&gt;$E$13</formula>
    </cfRule>
  </conditionalFormatting>
  <conditionalFormatting sqref="F42:O42">
    <cfRule type="expression" dxfId="44" priority="1">
      <formula>F42&lt;F43</formula>
    </cfRule>
  </conditionalFormatting>
  <dataValidations count="5">
    <dataValidation type="decimal" allowBlank="1" showInputMessage="1" showErrorMessage="1" errorTitle="ΔT from 0 K to -15 K" error="Enter a number ≤ 0 but ≥ - 15." sqref="E17" xr:uid="{00000000-0002-0000-0000-000000000000}">
      <formula1>-15</formula1>
      <formula2>0</formula2>
    </dataValidation>
    <dataValidation type="list" allowBlank="1" showInputMessage="1" showErrorMessage="1" sqref="L9" xr:uid="{00000000-0002-0000-0000-000001000000}">
      <formula1>adpi.</formula1>
    </dataValidation>
    <dataValidation type="decimal" allowBlank="1" showInputMessage="1" showErrorMessage="1" sqref="L29" xr:uid="{00000000-0002-0000-0000-000002000000}">
      <formula1>0</formula1>
      <formula2>100</formula2>
    </dataValidation>
    <dataValidation type="decimal" operator="greaterThanOrEqual" allowBlank="1" showInputMessage="1" showErrorMessage="1" error="dT (heating) must be larger than '+1 K'" sqref="L21" xr:uid="{00000000-0002-0000-0000-000003000000}">
      <formula1>1</formula1>
    </dataValidation>
    <dataValidation type="decimal" allowBlank="1" showErrorMessage="1" errorTitle="Recommended Height" error="Recommended diffuser height is between 2 and 20 m." sqref="E15" xr:uid="{00000000-0002-0000-0000-000004000000}">
      <formula1>2</formula1>
      <formula2>20</formula2>
    </dataValidation>
  </dataValidations>
  <hyperlinks>
    <hyperlink ref="I74:M74" r:id="rId1" display="click to see product on smartair.asia" xr:uid="{00000000-0004-0000-0000-000000000000}"/>
  </hyperlinks>
  <pageMargins left="0.7" right="0.7" top="0.75" bottom="0.75" header="0.3" footer="0.3"/>
  <pageSetup paperSize="9"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31" r:id="rId5" name="Check Box 7">
              <controlPr defaultSize="0" autoFill="0" autoLine="0" autoPict="0">
                <anchor moveWithCells="1">
                  <from>
                    <xdr:col>8</xdr:col>
                    <xdr:colOff>776288</xdr:colOff>
                    <xdr:row>23</xdr:row>
                    <xdr:rowOff>176213</xdr:rowOff>
                  </from>
                  <to>
                    <xdr:col>10</xdr:col>
                    <xdr:colOff>476250</xdr:colOff>
                    <xdr:row>25</xdr:row>
                    <xdr:rowOff>4763</xdr:rowOff>
                  </to>
                </anchor>
              </controlPr>
            </control>
          </mc:Choice>
        </mc:AlternateContent>
        <mc:AlternateContent xmlns:mc="http://schemas.openxmlformats.org/markup-compatibility/2006">
          <mc:Choice Requires="x14">
            <control shapeId="1032" r:id="rId6" name="Group Box 8">
              <controlPr defaultSize="0" autoFill="0" autoPict="0">
                <anchor moveWithCells="1">
                  <from>
                    <xdr:col>8</xdr:col>
                    <xdr:colOff>742950</xdr:colOff>
                    <xdr:row>11</xdr:row>
                    <xdr:rowOff>76200</xdr:rowOff>
                  </from>
                  <to>
                    <xdr:col>12</xdr:col>
                    <xdr:colOff>133350</xdr:colOff>
                    <xdr:row>17</xdr:row>
                    <xdr:rowOff>57150</xdr:rowOff>
                  </to>
                </anchor>
              </controlPr>
            </control>
          </mc:Choice>
        </mc:AlternateContent>
        <mc:AlternateContent xmlns:mc="http://schemas.openxmlformats.org/markup-compatibility/2006">
          <mc:Choice Requires="x14">
            <control shapeId="1033" r:id="rId7" name="Option Button 9">
              <controlPr defaultSize="0" autoFill="0" autoLine="0" autoPict="0">
                <anchor moveWithCells="1">
                  <from>
                    <xdr:col>8</xdr:col>
                    <xdr:colOff>876300</xdr:colOff>
                    <xdr:row>11</xdr:row>
                    <xdr:rowOff>171450</xdr:rowOff>
                  </from>
                  <to>
                    <xdr:col>10</xdr:col>
                    <xdr:colOff>638175</xdr:colOff>
                    <xdr:row>13</xdr:row>
                    <xdr:rowOff>4763</xdr:rowOff>
                  </to>
                </anchor>
              </controlPr>
            </control>
          </mc:Choice>
        </mc:AlternateContent>
        <mc:AlternateContent xmlns:mc="http://schemas.openxmlformats.org/markup-compatibility/2006">
          <mc:Choice Requires="x14">
            <control shapeId="1034" r:id="rId8" name="Option Button 10">
              <controlPr defaultSize="0" autoFill="0" autoLine="0" autoPict="0">
                <anchor moveWithCells="1">
                  <from>
                    <xdr:col>8</xdr:col>
                    <xdr:colOff>881063</xdr:colOff>
                    <xdr:row>13</xdr:row>
                    <xdr:rowOff>161925</xdr:rowOff>
                  </from>
                  <to>
                    <xdr:col>10</xdr:col>
                    <xdr:colOff>695325</xdr:colOff>
                    <xdr:row>14</xdr:row>
                    <xdr:rowOff>171450</xdr:rowOff>
                  </to>
                </anchor>
              </controlPr>
            </control>
          </mc:Choice>
        </mc:AlternateContent>
        <mc:AlternateContent xmlns:mc="http://schemas.openxmlformats.org/markup-compatibility/2006">
          <mc:Choice Requires="x14">
            <control shapeId="1035" r:id="rId9" name="Option Button 11">
              <controlPr defaultSize="0" autoFill="0" autoLine="0" autoPict="0">
                <anchor moveWithCells="1">
                  <from>
                    <xdr:col>8</xdr:col>
                    <xdr:colOff>890588</xdr:colOff>
                    <xdr:row>15</xdr:row>
                    <xdr:rowOff>171450</xdr:rowOff>
                  </from>
                  <to>
                    <xdr:col>10</xdr:col>
                    <xdr:colOff>485775</xdr:colOff>
                    <xdr:row>16</xdr:row>
                    <xdr:rowOff>180975</xdr:rowOff>
                  </to>
                </anchor>
              </controlPr>
            </control>
          </mc:Choice>
        </mc:AlternateContent>
        <mc:AlternateContent xmlns:mc="http://schemas.openxmlformats.org/markup-compatibility/2006">
          <mc:Choice Requires="x14">
            <control shapeId="1062" r:id="rId10" name="Group Box 38">
              <controlPr defaultSize="0" autoFill="0" autoPict="0">
                <anchor moveWithCells="1">
                  <from>
                    <xdr:col>4</xdr:col>
                    <xdr:colOff>923925</xdr:colOff>
                    <xdr:row>64</xdr:row>
                    <xdr:rowOff>23813</xdr:rowOff>
                  </from>
                  <to>
                    <xdr:col>13</xdr:col>
                    <xdr:colOff>471488</xdr:colOff>
                    <xdr:row>65</xdr:row>
                    <xdr:rowOff>9525</xdr:rowOff>
                  </to>
                </anchor>
              </controlPr>
            </control>
          </mc:Choice>
        </mc:AlternateContent>
        <mc:AlternateContent xmlns:mc="http://schemas.openxmlformats.org/markup-compatibility/2006">
          <mc:Choice Requires="x14">
            <control shapeId="1063" r:id="rId11" name="Option Button 39">
              <controlPr defaultSize="0" autoFill="0" autoLine="0" autoPict="0">
                <anchor moveWithCells="1">
                  <from>
                    <xdr:col>5</xdr:col>
                    <xdr:colOff>71438</xdr:colOff>
                    <xdr:row>64</xdr:row>
                    <xdr:rowOff>38100</xdr:rowOff>
                  </from>
                  <to>
                    <xdr:col>5</xdr:col>
                    <xdr:colOff>457200</xdr:colOff>
                    <xdr:row>64</xdr:row>
                    <xdr:rowOff>300038</xdr:rowOff>
                  </to>
                </anchor>
              </controlPr>
            </control>
          </mc:Choice>
        </mc:AlternateContent>
        <mc:AlternateContent xmlns:mc="http://schemas.openxmlformats.org/markup-compatibility/2006">
          <mc:Choice Requires="x14">
            <control shapeId="1064" r:id="rId12" name="Option Button 40">
              <controlPr defaultSize="0" autoFill="0" autoLine="0" autoPict="0">
                <anchor moveWithCells="1">
                  <from>
                    <xdr:col>6</xdr:col>
                    <xdr:colOff>766763</xdr:colOff>
                    <xdr:row>64</xdr:row>
                    <xdr:rowOff>23813</xdr:rowOff>
                  </from>
                  <to>
                    <xdr:col>7</xdr:col>
                    <xdr:colOff>247650</xdr:colOff>
                    <xdr:row>64</xdr:row>
                    <xdr:rowOff>285750</xdr:rowOff>
                  </to>
                </anchor>
              </controlPr>
            </control>
          </mc:Choice>
        </mc:AlternateContent>
        <mc:AlternateContent xmlns:mc="http://schemas.openxmlformats.org/markup-compatibility/2006">
          <mc:Choice Requires="x14">
            <control shapeId="1065" r:id="rId13" name="Option Button 41">
              <controlPr defaultSize="0" autoFill="0" autoLine="0" autoPict="0">
                <anchor moveWithCells="1">
                  <from>
                    <xdr:col>8</xdr:col>
                    <xdr:colOff>766763</xdr:colOff>
                    <xdr:row>64</xdr:row>
                    <xdr:rowOff>23813</xdr:rowOff>
                  </from>
                  <to>
                    <xdr:col>9</xdr:col>
                    <xdr:colOff>219075</xdr:colOff>
                    <xdr:row>64</xdr:row>
                    <xdr:rowOff>285750</xdr:rowOff>
                  </to>
                </anchor>
              </controlPr>
            </control>
          </mc:Choice>
        </mc:AlternateContent>
        <mc:AlternateContent xmlns:mc="http://schemas.openxmlformats.org/markup-compatibility/2006">
          <mc:Choice Requires="x14">
            <control shapeId="1069" r:id="rId14" name="Group Box 45">
              <controlPr defaultSize="0" autoFill="0" autoPict="0">
                <anchor moveWithCells="1">
                  <from>
                    <xdr:col>4</xdr:col>
                    <xdr:colOff>876300</xdr:colOff>
                    <xdr:row>65</xdr:row>
                    <xdr:rowOff>9525</xdr:rowOff>
                  </from>
                  <to>
                    <xdr:col>11</xdr:col>
                    <xdr:colOff>66675</xdr:colOff>
                    <xdr:row>66</xdr:row>
                    <xdr:rowOff>0</xdr:rowOff>
                  </to>
                </anchor>
              </controlPr>
            </control>
          </mc:Choice>
        </mc:AlternateContent>
        <mc:AlternateContent xmlns:mc="http://schemas.openxmlformats.org/markup-compatibility/2006">
          <mc:Choice Requires="x14">
            <control shapeId="1071" r:id="rId15" name="Option Button 47">
              <controlPr defaultSize="0" autoFill="0" autoLine="0" autoPict="0">
                <anchor moveWithCells="1">
                  <from>
                    <xdr:col>5</xdr:col>
                    <xdr:colOff>61913</xdr:colOff>
                    <xdr:row>65</xdr:row>
                    <xdr:rowOff>33338</xdr:rowOff>
                  </from>
                  <to>
                    <xdr:col>6</xdr:col>
                    <xdr:colOff>109538</xdr:colOff>
                    <xdr:row>65</xdr:row>
                    <xdr:rowOff>261938</xdr:rowOff>
                  </to>
                </anchor>
              </controlPr>
            </control>
          </mc:Choice>
        </mc:AlternateContent>
        <mc:AlternateContent xmlns:mc="http://schemas.openxmlformats.org/markup-compatibility/2006">
          <mc:Choice Requires="x14">
            <control shapeId="1072" r:id="rId16" name="Option Button 48">
              <controlPr defaultSize="0" autoFill="0" autoLine="0" autoPict="0">
                <anchor moveWithCells="1">
                  <from>
                    <xdr:col>7</xdr:col>
                    <xdr:colOff>28575</xdr:colOff>
                    <xdr:row>65</xdr:row>
                    <xdr:rowOff>38100</xdr:rowOff>
                  </from>
                  <to>
                    <xdr:col>7</xdr:col>
                    <xdr:colOff>862013</xdr:colOff>
                    <xdr:row>65</xdr:row>
                    <xdr:rowOff>271463</xdr:rowOff>
                  </to>
                </anchor>
              </controlPr>
            </control>
          </mc:Choice>
        </mc:AlternateContent>
        <mc:AlternateContent xmlns:mc="http://schemas.openxmlformats.org/markup-compatibility/2006">
          <mc:Choice Requires="x14">
            <control shapeId="1073" r:id="rId17" name="Option Button 49">
              <controlPr defaultSize="0" autoFill="0" autoLine="0" autoPict="0">
                <anchor moveWithCells="1">
                  <from>
                    <xdr:col>9</xdr:col>
                    <xdr:colOff>52388</xdr:colOff>
                    <xdr:row>65</xdr:row>
                    <xdr:rowOff>38100</xdr:rowOff>
                  </from>
                  <to>
                    <xdr:col>9</xdr:col>
                    <xdr:colOff>571500</xdr:colOff>
                    <xdr:row>65</xdr:row>
                    <xdr:rowOff>271463</xdr:rowOff>
                  </to>
                </anchor>
              </controlPr>
            </control>
          </mc:Choice>
        </mc:AlternateContent>
        <mc:AlternateContent xmlns:mc="http://schemas.openxmlformats.org/markup-compatibility/2006">
          <mc:Choice Requires="x14">
            <control shapeId="1076" r:id="rId18" name="Group Box 52">
              <controlPr defaultSize="0" autoFill="0" autoPict="0">
                <anchor moveWithCells="1">
                  <from>
                    <xdr:col>5</xdr:col>
                    <xdr:colOff>628650</xdr:colOff>
                    <xdr:row>7</xdr:row>
                    <xdr:rowOff>152400</xdr:rowOff>
                  </from>
                  <to>
                    <xdr:col>7</xdr:col>
                    <xdr:colOff>571500</xdr:colOff>
                    <xdr:row>9</xdr:row>
                    <xdr:rowOff>57150</xdr:rowOff>
                  </to>
                </anchor>
              </controlPr>
            </control>
          </mc:Choice>
        </mc:AlternateContent>
        <mc:AlternateContent xmlns:mc="http://schemas.openxmlformats.org/markup-compatibility/2006">
          <mc:Choice Requires="x14">
            <control shapeId="1077" r:id="rId19" name="Option Button 53">
              <controlPr defaultSize="0" autoFill="0" autoLine="0" autoPict="0">
                <anchor moveWithCells="1">
                  <from>
                    <xdr:col>5</xdr:col>
                    <xdr:colOff>709613</xdr:colOff>
                    <xdr:row>8</xdr:row>
                    <xdr:rowOff>19050</xdr:rowOff>
                  </from>
                  <to>
                    <xdr:col>6</xdr:col>
                    <xdr:colOff>100013</xdr:colOff>
                    <xdr:row>9</xdr:row>
                    <xdr:rowOff>23813</xdr:rowOff>
                  </to>
                </anchor>
              </controlPr>
            </control>
          </mc:Choice>
        </mc:AlternateContent>
        <mc:AlternateContent xmlns:mc="http://schemas.openxmlformats.org/markup-compatibility/2006">
          <mc:Choice Requires="x14">
            <control shapeId="1078" r:id="rId20" name="Option Button 54">
              <controlPr defaultSize="0" autoFill="0" autoLine="0" autoPict="0">
                <anchor moveWithCells="1">
                  <from>
                    <xdr:col>6</xdr:col>
                    <xdr:colOff>676275</xdr:colOff>
                    <xdr:row>7</xdr:row>
                    <xdr:rowOff>171450</xdr:rowOff>
                  </from>
                  <to>
                    <xdr:col>7</xdr:col>
                    <xdr:colOff>66675</xdr:colOff>
                    <xdr:row>8</xdr:row>
                    <xdr:rowOff>195263</xdr:rowOff>
                  </to>
                </anchor>
              </controlPr>
            </control>
          </mc:Choice>
        </mc:AlternateContent>
        <mc:AlternateContent xmlns:mc="http://schemas.openxmlformats.org/markup-compatibility/2006">
          <mc:Choice Requires="x14">
            <control shapeId="1079" r:id="rId21" name="Check Box 55">
              <controlPr defaultSize="0" autoFill="0" autoLine="0" autoPict="0">
                <anchor moveWithCells="1">
                  <from>
                    <xdr:col>9</xdr:col>
                    <xdr:colOff>876300</xdr:colOff>
                    <xdr:row>19</xdr:row>
                    <xdr:rowOff>171450</xdr:rowOff>
                  </from>
                  <to>
                    <xdr:col>10</xdr:col>
                    <xdr:colOff>681038</xdr:colOff>
                    <xdr:row>21</xdr:row>
                    <xdr:rowOff>4763</xdr:rowOff>
                  </to>
                </anchor>
              </controlPr>
            </control>
          </mc:Choice>
        </mc:AlternateContent>
        <mc:AlternateContent xmlns:mc="http://schemas.openxmlformats.org/markup-compatibility/2006">
          <mc:Choice Requires="x14">
            <control shapeId="1133" r:id="rId22" name="Group Box 109">
              <controlPr defaultSize="0" autoFill="0" autoPict="0">
                <anchor moveWithCells="1">
                  <from>
                    <xdr:col>4</xdr:col>
                    <xdr:colOff>966788</xdr:colOff>
                    <xdr:row>60</xdr:row>
                    <xdr:rowOff>147638</xdr:rowOff>
                  </from>
                  <to>
                    <xdr:col>16</xdr:col>
                    <xdr:colOff>76200</xdr:colOff>
                    <xdr:row>62</xdr:row>
                    <xdr:rowOff>0</xdr:rowOff>
                  </to>
                </anchor>
              </controlPr>
            </control>
          </mc:Choice>
        </mc:AlternateContent>
        <mc:AlternateContent xmlns:mc="http://schemas.openxmlformats.org/markup-compatibility/2006">
          <mc:Choice Requires="x14">
            <control shapeId="1135" r:id="rId23" name="Option Button 111">
              <controlPr defaultSize="0" autoFill="0" autoLine="0" autoPict="0">
                <anchor moveWithCells="1">
                  <from>
                    <xdr:col>5</xdr:col>
                    <xdr:colOff>300038</xdr:colOff>
                    <xdr:row>61</xdr:row>
                    <xdr:rowOff>14288</xdr:rowOff>
                  </from>
                  <to>
                    <xdr:col>5</xdr:col>
                    <xdr:colOff>604838</xdr:colOff>
                    <xdr:row>62</xdr:row>
                    <xdr:rowOff>0</xdr:rowOff>
                  </to>
                </anchor>
              </controlPr>
            </control>
          </mc:Choice>
        </mc:AlternateContent>
        <mc:AlternateContent xmlns:mc="http://schemas.openxmlformats.org/markup-compatibility/2006">
          <mc:Choice Requires="x14">
            <control shapeId="1136" r:id="rId24" name="Option Button 112">
              <controlPr defaultSize="0" autoFill="0" autoLine="0" autoPict="0">
                <anchor moveWithCells="1">
                  <from>
                    <xdr:col>6</xdr:col>
                    <xdr:colOff>285750</xdr:colOff>
                    <xdr:row>61</xdr:row>
                    <xdr:rowOff>19050</xdr:rowOff>
                  </from>
                  <to>
                    <xdr:col>6</xdr:col>
                    <xdr:colOff>590550</xdr:colOff>
                    <xdr:row>62</xdr:row>
                    <xdr:rowOff>0</xdr:rowOff>
                  </to>
                </anchor>
              </controlPr>
            </control>
          </mc:Choice>
        </mc:AlternateContent>
        <mc:AlternateContent xmlns:mc="http://schemas.openxmlformats.org/markup-compatibility/2006">
          <mc:Choice Requires="x14">
            <control shapeId="1137" r:id="rId25" name="Option Button 113">
              <controlPr defaultSize="0" autoFill="0" autoLine="0" autoPict="0">
                <anchor moveWithCells="1">
                  <from>
                    <xdr:col>7</xdr:col>
                    <xdr:colOff>323850</xdr:colOff>
                    <xdr:row>61</xdr:row>
                    <xdr:rowOff>19050</xdr:rowOff>
                  </from>
                  <to>
                    <xdr:col>7</xdr:col>
                    <xdr:colOff>628650</xdr:colOff>
                    <xdr:row>62</xdr:row>
                    <xdr:rowOff>0</xdr:rowOff>
                  </to>
                </anchor>
              </controlPr>
            </control>
          </mc:Choice>
        </mc:AlternateContent>
        <mc:AlternateContent xmlns:mc="http://schemas.openxmlformats.org/markup-compatibility/2006">
          <mc:Choice Requires="x14">
            <control shapeId="1138" r:id="rId26" name="Option Button 114">
              <controlPr defaultSize="0" autoFill="0" autoLine="0" autoPict="0">
                <anchor moveWithCells="1">
                  <from>
                    <xdr:col>8</xdr:col>
                    <xdr:colOff>300038</xdr:colOff>
                    <xdr:row>61</xdr:row>
                    <xdr:rowOff>14288</xdr:rowOff>
                  </from>
                  <to>
                    <xdr:col>8</xdr:col>
                    <xdr:colOff>604838</xdr:colOff>
                    <xdr:row>62</xdr:row>
                    <xdr:rowOff>0</xdr:rowOff>
                  </to>
                </anchor>
              </controlPr>
            </control>
          </mc:Choice>
        </mc:AlternateContent>
        <mc:AlternateContent xmlns:mc="http://schemas.openxmlformats.org/markup-compatibility/2006">
          <mc:Choice Requires="x14">
            <control shapeId="1139" r:id="rId27" name="Option Button 115">
              <controlPr defaultSize="0" autoFill="0" autoLine="0" autoPict="0">
                <anchor moveWithCells="1">
                  <from>
                    <xdr:col>9</xdr:col>
                    <xdr:colOff>342900</xdr:colOff>
                    <xdr:row>61</xdr:row>
                    <xdr:rowOff>19050</xdr:rowOff>
                  </from>
                  <to>
                    <xdr:col>9</xdr:col>
                    <xdr:colOff>647700</xdr:colOff>
                    <xdr:row>62</xdr:row>
                    <xdr:rowOff>0</xdr:rowOff>
                  </to>
                </anchor>
              </controlPr>
            </control>
          </mc:Choice>
        </mc:AlternateContent>
        <mc:AlternateContent xmlns:mc="http://schemas.openxmlformats.org/markup-compatibility/2006">
          <mc:Choice Requires="x14">
            <control shapeId="1140" r:id="rId28" name="Option Button 116">
              <controlPr defaultSize="0" autoFill="0" autoLine="0" autoPict="0">
                <anchor moveWithCells="1">
                  <from>
                    <xdr:col>10</xdr:col>
                    <xdr:colOff>342900</xdr:colOff>
                    <xdr:row>61</xdr:row>
                    <xdr:rowOff>19050</xdr:rowOff>
                  </from>
                  <to>
                    <xdr:col>10</xdr:col>
                    <xdr:colOff>647700</xdr:colOff>
                    <xdr:row>62</xdr:row>
                    <xdr:rowOff>0</xdr:rowOff>
                  </to>
                </anchor>
              </controlPr>
            </control>
          </mc:Choice>
        </mc:AlternateContent>
        <mc:AlternateContent xmlns:mc="http://schemas.openxmlformats.org/markup-compatibility/2006">
          <mc:Choice Requires="x14">
            <control shapeId="1141" r:id="rId29" name="Option Button 117">
              <controlPr defaultSize="0" autoFill="0" autoLine="0" autoPict="0">
                <anchor moveWithCells="1">
                  <from>
                    <xdr:col>11</xdr:col>
                    <xdr:colOff>323850</xdr:colOff>
                    <xdr:row>61</xdr:row>
                    <xdr:rowOff>19050</xdr:rowOff>
                  </from>
                  <to>
                    <xdr:col>11</xdr:col>
                    <xdr:colOff>628650</xdr:colOff>
                    <xdr:row>62</xdr:row>
                    <xdr:rowOff>0</xdr:rowOff>
                  </to>
                </anchor>
              </controlPr>
            </control>
          </mc:Choice>
        </mc:AlternateContent>
        <mc:AlternateContent xmlns:mc="http://schemas.openxmlformats.org/markup-compatibility/2006">
          <mc:Choice Requires="x14">
            <control shapeId="1143" r:id="rId30" name="Option Button 119">
              <controlPr defaultSize="0" autoFill="0" autoLine="0" autoPict="0">
                <anchor moveWithCells="1">
                  <from>
                    <xdr:col>12</xdr:col>
                    <xdr:colOff>338138</xdr:colOff>
                    <xdr:row>61</xdr:row>
                    <xdr:rowOff>14288</xdr:rowOff>
                  </from>
                  <to>
                    <xdr:col>12</xdr:col>
                    <xdr:colOff>642938</xdr:colOff>
                    <xdr:row>62</xdr:row>
                    <xdr:rowOff>0</xdr:rowOff>
                  </to>
                </anchor>
              </controlPr>
            </control>
          </mc:Choice>
        </mc:AlternateContent>
        <mc:AlternateContent xmlns:mc="http://schemas.openxmlformats.org/markup-compatibility/2006">
          <mc:Choice Requires="x14">
            <control shapeId="1145" r:id="rId31" name="Option Button 121">
              <controlPr defaultSize="0" autoFill="0" autoLine="0" autoPict="0">
                <anchor moveWithCells="1">
                  <from>
                    <xdr:col>13</xdr:col>
                    <xdr:colOff>323850</xdr:colOff>
                    <xdr:row>61</xdr:row>
                    <xdr:rowOff>14288</xdr:rowOff>
                  </from>
                  <to>
                    <xdr:col>13</xdr:col>
                    <xdr:colOff>628650</xdr:colOff>
                    <xdr:row>62</xdr:row>
                    <xdr:rowOff>0</xdr:rowOff>
                  </to>
                </anchor>
              </controlPr>
            </control>
          </mc:Choice>
        </mc:AlternateContent>
        <mc:AlternateContent xmlns:mc="http://schemas.openxmlformats.org/markup-compatibility/2006">
          <mc:Choice Requires="x14">
            <control shapeId="1146" r:id="rId32" name="Option Button 122">
              <controlPr defaultSize="0" autoFill="0" autoLine="0" autoPict="0">
                <anchor moveWithCells="1">
                  <from>
                    <xdr:col>14</xdr:col>
                    <xdr:colOff>300038</xdr:colOff>
                    <xdr:row>61</xdr:row>
                    <xdr:rowOff>14288</xdr:rowOff>
                  </from>
                  <to>
                    <xdr:col>14</xdr:col>
                    <xdr:colOff>604838</xdr:colOff>
                    <xdr:row>62</xdr:row>
                    <xdr:rowOff>0</xdr:rowOff>
                  </to>
                </anchor>
              </controlPr>
            </control>
          </mc:Choice>
        </mc:AlternateContent>
        <mc:AlternateContent xmlns:mc="http://schemas.openxmlformats.org/markup-compatibility/2006">
          <mc:Choice Requires="x14">
            <control shapeId="1371" r:id="rId33" name="Group Box 347">
              <controlPr defaultSize="0" autoFill="0" autoPict="0">
                <anchor moveWithCells="1">
                  <from>
                    <xdr:col>8</xdr:col>
                    <xdr:colOff>757238</xdr:colOff>
                    <xdr:row>17</xdr:row>
                    <xdr:rowOff>104775</xdr:rowOff>
                  </from>
                  <to>
                    <xdr:col>16</xdr:col>
                    <xdr:colOff>176213</xdr:colOff>
                    <xdr:row>19</xdr:row>
                    <xdr:rowOff>119063</xdr:rowOff>
                  </to>
                </anchor>
              </controlPr>
            </control>
          </mc:Choice>
        </mc:AlternateContent>
        <mc:AlternateContent xmlns:mc="http://schemas.openxmlformats.org/markup-compatibility/2006">
          <mc:Choice Requires="x14">
            <control shapeId="1372" r:id="rId34" name="Option Button 348">
              <controlPr defaultSize="0" autoFill="0" autoLine="0" autoPict="0">
                <anchor moveWithCells="1">
                  <from>
                    <xdr:col>11</xdr:col>
                    <xdr:colOff>176213</xdr:colOff>
                    <xdr:row>17</xdr:row>
                    <xdr:rowOff>142875</xdr:rowOff>
                  </from>
                  <to>
                    <xdr:col>11</xdr:col>
                    <xdr:colOff>790575</xdr:colOff>
                    <xdr:row>19</xdr:row>
                    <xdr:rowOff>9525</xdr:rowOff>
                  </to>
                </anchor>
              </controlPr>
            </control>
          </mc:Choice>
        </mc:AlternateContent>
        <mc:AlternateContent xmlns:mc="http://schemas.openxmlformats.org/markup-compatibility/2006">
          <mc:Choice Requires="x14">
            <control shapeId="1373" r:id="rId35" name="Option Button 349">
              <controlPr defaultSize="0" autoFill="0" autoLine="0" autoPict="0">
                <anchor moveWithCells="1">
                  <from>
                    <xdr:col>12</xdr:col>
                    <xdr:colOff>661988</xdr:colOff>
                    <xdr:row>17</xdr:row>
                    <xdr:rowOff>157163</xdr:rowOff>
                  </from>
                  <to>
                    <xdr:col>13</xdr:col>
                    <xdr:colOff>738188</xdr:colOff>
                    <xdr:row>19</xdr:row>
                    <xdr:rowOff>23813</xdr:rowOff>
                  </to>
                </anchor>
              </controlPr>
            </control>
          </mc:Choice>
        </mc:AlternateContent>
        <mc:AlternateContent xmlns:mc="http://schemas.openxmlformats.org/markup-compatibility/2006">
          <mc:Choice Requires="x14">
            <control shapeId="1631" r:id="rId36" name="Group Box 607">
              <controlPr defaultSize="0" autoFill="0" autoPict="0">
                <anchor moveWithCells="1">
                  <from>
                    <xdr:col>4</xdr:col>
                    <xdr:colOff>928688</xdr:colOff>
                    <xdr:row>63</xdr:row>
                    <xdr:rowOff>0</xdr:rowOff>
                  </from>
                  <to>
                    <xdr:col>13</xdr:col>
                    <xdr:colOff>781050</xdr:colOff>
                    <xdr:row>64</xdr:row>
                    <xdr:rowOff>14288</xdr:rowOff>
                  </to>
                </anchor>
              </controlPr>
            </control>
          </mc:Choice>
        </mc:AlternateContent>
        <mc:AlternateContent xmlns:mc="http://schemas.openxmlformats.org/markup-compatibility/2006">
          <mc:Choice Requires="x14">
            <control shapeId="1633" r:id="rId37" name="Option Button 609">
              <controlPr defaultSize="0" autoFill="0" autoLine="0" autoPict="0">
                <anchor moveWithCells="1">
                  <from>
                    <xdr:col>5</xdr:col>
                    <xdr:colOff>76200</xdr:colOff>
                    <xdr:row>63</xdr:row>
                    <xdr:rowOff>57150</xdr:rowOff>
                  </from>
                  <to>
                    <xdr:col>5</xdr:col>
                    <xdr:colOff>723900</xdr:colOff>
                    <xdr:row>63</xdr:row>
                    <xdr:rowOff>285750</xdr:rowOff>
                  </to>
                </anchor>
              </controlPr>
            </control>
          </mc:Choice>
        </mc:AlternateContent>
        <mc:AlternateContent xmlns:mc="http://schemas.openxmlformats.org/markup-compatibility/2006">
          <mc:Choice Requires="x14">
            <control shapeId="1635" r:id="rId38" name="Option Button 611">
              <controlPr defaultSize="0" autoFill="0" autoLine="0" autoPict="0">
                <anchor moveWithCells="1">
                  <from>
                    <xdr:col>6</xdr:col>
                    <xdr:colOff>95250</xdr:colOff>
                    <xdr:row>63</xdr:row>
                    <xdr:rowOff>42863</xdr:rowOff>
                  </from>
                  <to>
                    <xdr:col>6</xdr:col>
                    <xdr:colOff>585788</xdr:colOff>
                    <xdr:row>63</xdr:row>
                    <xdr:rowOff>276225</xdr:rowOff>
                  </to>
                </anchor>
              </controlPr>
            </control>
          </mc:Choice>
        </mc:AlternateContent>
        <mc:AlternateContent xmlns:mc="http://schemas.openxmlformats.org/markup-compatibility/2006">
          <mc:Choice Requires="x14">
            <control shapeId="1653" r:id="rId39" name="Option Button 629">
              <controlPr defaultSize="0" autoFill="0" autoLine="0" autoPict="0">
                <anchor moveWithCells="1">
                  <from>
                    <xdr:col>7</xdr:col>
                    <xdr:colOff>57150</xdr:colOff>
                    <xdr:row>63</xdr:row>
                    <xdr:rowOff>42863</xdr:rowOff>
                  </from>
                  <to>
                    <xdr:col>7</xdr:col>
                    <xdr:colOff>528638</xdr:colOff>
                    <xdr:row>63</xdr:row>
                    <xdr:rowOff>276225</xdr:rowOff>
                  </to>
                </anchor>
              </controlPr>
            </control>
          </mc:Choice>
        </mc:AlternateContent>
        <mc:AlternateContent xmlns:mc="http://schemas.openxmlformats.org/markup-compatibility/2006">
          <mc:Choice Requires="x14">
            <control shapeId="1654" r:id="rId40" name="Option Button 630">
              <controlPr defaultSize="0" autoFill="0" autoLine="0" autoPict="0">
                <anchor moveWithCells="1">
                  <from>
                    <xdr:col>8</xdr:col>
                    <xdr:colOff>71438</xdr:colOff>
                    <xdr:row>63</xdr:row>
                    <xdr:rowOff>42863</xdr:rowOff>
                  </from>
                  <to>
                    <xdr:col>8</xdr:col>
                    <xdr:colOff>509588</xdr:colOff>
                    <xdr:row>63</xdr:row>
                    <xdr:rowOff>276225</xdr:rowOff>
                  </to>
                </anchor>
              </controlPr>
            </control>
          </mc:Choice>
        </mc:AlternateContent>
        <mc:AlternateContent xmlns:mc="http://schemas.openxmlformats.org/markup-compatibility/2006">
          <mc:Choice Requires="x14">
            <control shapeId="1656" r:id="rId41" name="Option Button 632">
              <controlPr defaultSize="0" autoFill="0" autoLine="0" autoPict="0">
                <anchor moveWithCells="1">
                  <from>
                    <xdr:col>9</xdr:col>
                    <xdr:colOff>38100</xdr:colOff>
                    <xdr:row>63</xdr:row>
                    <xdr:rowOff>47625</xdr:rowOff>
                  </from>
                  <to>
                    <xdr:col>9</xdr:col>
                    <xdr:colOff>376238</xdr:colOff>
                    <xdr:row>63</xdr:row>
                    <xdr:rowOff>280988</xdr:rowOff>
                  </to>
                </anchor>
              </controlPr>
            </control>
          </mc:Choice>
        </mc:AlternateContent>
        <mc:AlternateContent xmlns:mc="http://schemas.openxmlformats.org/markup-compatibility/2006">
          <mc:Choice Requires="x14">
            <control shapeId="1673" r:id="rId42" name="Option Button 649">
              <controlPr defaultSize="0" autoFill="0" autoLine="0" autoPict="0">
                <anchor moveWithCells="1">
                  <from>
                    <xdr:col>10</xdr:col>
                    <xdr:colOff>723900</xdr:colOff>
                    <xdr:row>64</xdr:row>
                    <xdr:rowOff>42863</xdr:rowOff>
                  </from>
                  <to>
                    <xdr:col>11</xdr:col>
                    <xdr:colOff>285750</xdr:colOff>
                    <xdr:row>64</xdr:row>
                    <xdr:rowOff>276225</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139" id="{00000000-000E-0000-0000-000086000000}">
            <xm:f>'Equations HSC-AD'!C$271</xm:f>
            <x14:dxf>
              <font>
                <color rgb="FFC00000"/>
              </font>
            </x14:dxf>
          </x14:cfRule>
          <xm:sqref>F52:P52</xm:sqref>
        </x14:conditionalFormatting>
        <x14:conditionalFormatting xmlns:xm="http://schemas.microsoft.com/office/excel/2006/main">
          <x14:cfRule type="expression" priority="134" id="{13D94592-FD8C-4DC2-B025-79F9DB6A1E13}">
            <xm:f>('Equations HSC-AD'!$C$61&lt;&gt;2)</xm:f>
            <x14:dxf>
              <font>
                <color theme="0" tint="-0.34998626667073579"/>
              </font>
            </x14:dxf>
          </x14:cfRule>
          <xm:sqref>J15 M15</xm:sqref>
        </x14:conditionalFormatting>
        <x14:conditionalFormatting xmlns:xm="http://schemas.microsoft.com/office/excel/2006/main">
          <x14:cfRule type="expression" priority="133" id="{F4085A6B-1740-4F42-8CCB-2128816AB4C1}">
            <xm:f>('Equations HSC-AD'!$C$61&lt;&gt;3)</xm:f>
            <x14:dxf>
              <font>
                <color theme="0" tint="-0.34998626667073579"/>
              </font>
            </x14:dxf>
          </x14:cfRule>
          <xm:sqref>M17 J17:K17</xm:sqref>
        </x14:conditionalFormatting>
        <x14:conditionalFormatting xmlns:xm="http://schemas.microsoft.com/office/excel/2006/main">
          <x14:cfRule type="expression" priority="132" id="{EAF4187E-7D7D-4843-B27C-49DCDEE12DAF}">
            <xm:f>('Equations HSC-AD'!$C$61&lt;&gt;1)</xm:f>
            <x14:dxf>
              <font>
                <color theme="0" tint="-0.34998626667073579"/>
              </font>
            </x14:dxf>
          </x14:cfRule>
          <xm:sqref>J13</xm:sqref>
        </x14:conditionalFormatting>
        <x14:conditionalFormatting xmlns:xm="http://schemas.microsoft.com/office/excel/2006/main">
          <x14:cfRule type="expression" priority="129" id="{BD3B8C53-8578-4FD1-A185-95BDFA5ECE53}">
            <xm:f>('Equations HSC-AD'!$C$61&lt;&gt;3)</xm:f>
            <x14:dxf>
              <font>
                <color theme="1" tint="0.34998626667073579"/>
              </font>
              <fill>
                <patternFill>
                  <bgColor theme="1" tint="0.499984740745262"/>
                </patternFill>
              </fill>
              <border>
                <left style="thin">
                  <color auto="1"/>
                </left>
                <right style="thin">
                  <color auto="1"/>
                </right>
                <top style="thin">
                  <color auto="1"/>
                </top>
                <bottom style="thin">
                  <color auto="1"/>
                </bottom>
                <vertical/>
                <horizontal/>
              </border>
            </x14:dxf>
          </x14:cfRule>
          <xm:sqref>L17</xm:sqref>
        </x14:conditionalFormatting>
        <x14:conditionalFormatting xmlns:xm="http://schemas.microsoft.com/office/excel/2006/main">
          <x14:cfRule type="expression" priority="118" id="{EF80F0F2-09D0-477C-BCB0-D8B01EF8DDCD}">
            <xm:f>('Equations HSC-AD'!$C$61&lt;&gt;1)</xm:f>
            <x14:dxf>
              <font>
                <color theme="0" tint="-0.14996795556505021"/>
              </font>
            </x14:dxf>
          </x14:cfRule>
          <xm:sqref>L14:M14</xm:sqref>
        </x14:conditionalFormatting>
        <x14:conditionalFormatting xmlns:xm="http://schemas.microsoft.com/office/excel/2006/main">
          <x14:cfRule type="expression" priority="117" id="{723DDC28-475B-4D83-8420-64809A4B33E4}">
            <xm:f>('Equations HSC-AD'!$C$61&lt;&gt;2)</xm:f>
            <x14:dxf>
              <font>
                <color theme="0" tint="-0.14996795556505021"/>
              </font>
            </x14:dxf>
          </x14:cfRule>
          <xm:sqref>L16:M16</xm:sqref>
        </x14:conditionalFormatting>
        <x14:conditionalFormatting xmlns:xm="http://schemas.microsoft.com/office/excel/2006/main">
          <x14:cfRule type="expression" priority="116" id="{7CB4C776-A788-4480-9690-525DBC2775D4}">
            <xm:f>('Equations HSC-AD'!$C$61&lt;&gt;3)</xm:f>
            <x14:dxf>
              <font>
                <color theme="0" tint="-0.14996795556505021"/>
              </font>
            </x14:dxf>
          </x14:cfRule>
          <xm:sqref>L18:M18 L22:M22 L20:M20</xm:sqref>
        </x14:conditionalFormatting>
        <x14:conditionalFormatting xmlns:xm="http://schemas.microsoft.com/office/excel/2006/main">
          <x14:cfRule type="expression" priority="115" id="{BD2BA2B7-CAD7-4B92-9085-18E32AFE0987}">
            <xm:f>NOT('Equations HSC-AD'!$C$22)</xm:f>
            <x14: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x14:dxf>
          </x14:cfRule>
          <xm:sqref>L25</xm:sqref>
        </x14:conditionalFormatting>
        <x14:conditionalFormatting xmlns:xm="http://schemas.microsoft.com/office/excel/2006/main">
          <x14:cfRule type="expression" priority="114" id="{270757F3-9109-4EEB-AA7B-3777DA7921C4}">
            <xm:f>('Equations HSC-AD'!$C$22)</xm:f>
            <x14:dxf>
              <font>
                <color theme="0" tint="-0.14996795556505021"/>
              </font>
            </x14:dxf>
          </x14:cfRule>
          <xm:sqref>L26:M26</xm:sqref>
        </x14:conditionalFormatting>
        <x14:conditionalFormatting xmlns:xm="http://schemas.microsoft.com/office/excel/2006/main">
          <x14:cfRule type="expression" priority="7" id="{C421B380-4752-4CF5-93C1-7EF0A750AFAA}">
            <xm:f>'Equations HSC-AD'!C$270</xm:f>
            <x14:dxf>
              <font>
                <color rgb="FFC00000"/>
              </font>
            </x14:dxf>
          </x14:cfRule>
          <xm:sqref>F51:P51</xm:sqref>
        </x14:conditionalFormatting>
        <x14:conditionalFormatting xmlns:xm="http://schemas.microsoft.com/office/excel/2006/main">
          <x14:cfRule type="expression" priority="45" id="{79C8574D-3B38-4FF6-A3D6-1003D8FB4CD1}">
            <xm:f>OR('Equations HSC-AD'!$C$267:$M$267)</xm:f>
            <x14:dxf>
              <font>
                <color rgb="FFC00000"/>
              </font>
            </x14:dxf>
          </x14:cfRule>
          <xm:sqref>Q48</xm:sqref>
        </x14:conditionalFormatting>
        <x14:conditionalFormatting xmlns:xm="http://schemas.microsoft.com/office/excel/2006/main">
          <x14:cfRule type="expression" priority="44" id="{C2EDC4DA-C78D-4339-9BF2-E4EBB66EFA0B}">
            <xm:f>NOT('Equations HSC-AD'!$C$25)</xm:f>
            <x14:dxf>
              <font>
                <color theme="1" tint="0.499984740745262"/>
              </font>
              <fill>
                <patternFill>
                  <bgColor theme="1" tint="0.499984740745262"/>
                </patternFill>
              </fill>
              <border>
                <left style="thin">
                  <color auto="1"/>
                </left>
                <right style="thin">
                  <color auto="1"/>
                </right>
                <top style="thin">
                  <color auto="1"/>
                </top>
                <bottom style="thin">
                  <color auto="1"/>
                </bottom>
                <vertical/>
                <horizontal/>
              </border>
            </x14:dxf>
          </x14:cfRule>
          <xm:sqref>L21</xm:sqref>
        </x14:conditionalFormatting>
        <x14:conditionalFormatting xmlns:xm="http://schemas.microsoft.com/office/excel/2006/main">
          <x14:cfRule type="expression" priority="33" id="{C70A15C7-676A-4BFB-A99C-9BA99832DFB9}">
            <xm:f>NOT('Equations HSC-AD'!$C$25)</xm:f>
            <x14:dxf>
              <font>
                <color theme="0" tint="-4.9989318521683403E-2"/>
              </font>
            </x14:dxf>
          </x14:cfRule>
          <xm:sqref>Q49:R49 Q52</xm:sqref>
        </x14:conditionalFormatting>
        <x14:conditionalFormatting xmlns:xm="http://schemas.microsoft.com/office/excel/2006/main">
          <x14:cfRule type="expression" priority="20" id="{3CB7BCE0-AD44-4E84-85B3-D0E1246C8A13}">
            <xm:f>'HSC-AD data'!$C$19&gt;6</xm:f>
            <x14:dxf>
              <font>
                <color theme="0" tint="-0.34998626667073579"/>
              </font>
            </x14:dxf>
          </x14:cfRule>
          <xm:sqref>J65</xm:sqref>
        </x14:conditionalFormatting>
        <x14:conditionalFormatting xmlns:xm="http://schemas.microsoft.com/office/excel/2006/main">
          <x14:cfRule type="expression" priority="19" id="{2E2079CF-E574-4DB8-AAB3-448C3419D9DE}">
            <xm:f>'HSC-AD data'!$D$29="&lt;N/A&gt;"</xm:f>
            <x14:dxf>
              <font>
                <color rgb="FFC00000"/>
              </font>
            </x14:dxf>
          </x14:cfRule>
          <xm:sqref>K70</xm:sqref>
        </x14:conditionalFormatting>
        <x14:conditionalFormatting xmlns:xm="http://schemas.microsoft.com/office/excel/2006/main">
          <x14:cfRule type="expression" priority="18" id="{3CDA2310-2755-4BF4-AA1A-19F4D0C3CF88}">
            <xm:f>('Equations HSC-AD'!$C$61&lt;&gt;1)</xm:f>
            <x14:dxf>
              <font>
                <color theme="0" tint="-0.14996795556505021"/>
              </font>
            </x14:dxf>
          </x14:cfRule>
          <xm:sqref>N14</xm:sqref>
        </x14:conditionalFormatting>
        <x14:conditionalFormatting xmlns:xm="http://schemas.microsoft.com/office/excel/2006/main">
          <x14:cfRule type="expression" priority="136" id="{6423103C-8CAB-4299-A845-2D79941A0087}">
            <xm:f>('Equations HSC-AD'!$C$61&lt;&gt;2)</xm:f>
            <x14:dxf>
              <font>
                <color theme="1" tint="0.34998626667073579"/>
              </font>
              <fill>
                <patternFill>
                  <bgColor theme="1" tint="0.499984740745262"/>
                </patternFill>
              </fill>
              <border>
                <left style="thin">
                  <color auto="1"/>
                </left>
                <right style="thin">
                  <color auto="1"/>
                </right>
                <top style="thin">
                  <color auto="1"/>
                </top>
                <bottom style="thin">
                  <color auto="1"/>
                </bottom>
                <vertical/>
                <horizontal/>
              </border>
            </x14:dxf>
          </x14:cfRule>
          <xm:sqref>L15</xm:sqref>
        </x14:conditionalFormatting>
        <x14:conditionalFormatting xmlns:xm="http://schemas.microsoft.com/office/excel/2006/main">
          <x14:cfRule type="expression" priority="137" id="{0FC70B16-CF7B-4BE0-B9B0-65ED9B0A6DC5}">
            <xm:f>'Equations HSC-AD'!C$269</xm:f>
            <x14:dxf>
              <font>
                <color rgb="FFC00000"/>
              </font>
            </x14:dxf>
          </x14:cfRule>
          <xm:sqref>F50:P50</xm:sqref>
        </x14:conditionalFormatting>
        <x14:conditionalFormatting xmlns:xm="http://schemas.microsoft.com/office/excel/2006/main">
          <x14:cfRule type="expression" priority="404" id="{091675D9-69D8-48A6-B165-96BFAD891864}">
            <xm:f>('HSC-AD data'!E38="N/A")</xm:f>
            <x14:dxf>
              <font>
                <color theme="0" tint="-0.34998626667073579"/>
              </font>
            </x14:dxf>
          </x14:cfRule>
          <xm:sqref>G64:J64</xm:sqref>
        </x14:conditionalFormatting>
        <x14:conditionalFormatting xmlns:xm="http://schemas.microsoft.com/office/excel/2006/main">
          <x14:cfRule type="expression" priority="454" id="{F13F1C29-3BDE-4788-9E4C-A6B2AC7DC471}">
            <xm:f>OR(NOT('Equations HSC-AD'!$C$25),'Equations HSC-AD'!$C$267)</xm:f>
            <x14:dxf>
              <numFmt numFmtId="171" formatCode="\+0.0\ \K;\-0.0\ \K;0.0\ \K"/>
            </x14:dxf>
          </x14:cfRule>
          <x14:cfRule type="expression" priority="455" id="{BA9607E3-141A-4F51-8BF4-D21761518EE5}">
            <xm:f>'Equations HSC-AD'!$C$267</xm:f>
            <x14:dxf>
              <font>
                <color rgb="FFC00000"/>
              </font>
            </x14:dxf>
          </x14:cfRule>
          <xm:sqref>F48</xm:sqref>
        </x14:conditionalFormatting>
        <x14:conditionalFormatting xmlns:xm="http://schemas.microsoft.com/office/excel/2006/main">
          <x14:cfRule type="expression" priority="456" id="{EE13DACB-769D-4ABD-A9D9-668A69ACB611}">
            <xm:f>OR(NOT('Equations HSC-AD'!$C$25),'Equations HSC-AD'!$E$267)</xm:f>
            <x14:dxf>
              <numFmt numFmtId="171" formatCode="\+0.0\ \K;\-0.0\ \K;0.0\ \K"/>
            </x14:dxf>
          </x14:cfRule>
          <x14:cfRule type="expression" priority="457" id="{5F896D50-B759-4E18-9680-CFA459A058AB}">
            <xm:f>'Equations HSC-AD'!$E$267</xm:f>
            <x14:dxf>
              <font>
                <color rgb="FFC00000"/>
              </font>
            </x14:dxf>
          </x14:cfRule>
          <xm:sqref>H48</xm:sqref>
        </x14:conditionalFormatting>
        <x14:conditionalFormatting xmlns:xm="http://schemas.microsoft.com/office/excel/2006/main">
          <x14:cfRule type="expression" priority="458" id="{F3079A5D-F7FD-437B-8EEC-2BF88EA3A244}">
            <xm:f>OR(NOT('Equations HSC-AD'!$C$25),'Equations HSC-AD'!$D$267)</xm:f>
            <x14:dxf>
              <numFmt numFmtId="171" formatCode="\+0.0\ \K;\-0.0\ \K;0.0\ \K"/>
            </x14:dxf>
          </x14:cfRule>
          <x14:cfRule type="expression" priority="459" id="{158295EA-5E6A-4E07-8118-FCE42B98AF3D}">
            <xm:f>'Equations HSC-AD'!$D$267</xm:f>
            <x14:dxf>
              <font>
                <color rgb="FFC00000"/>
              </font>
            </x14:dxf>
          </x14:cfRule>
          <xm:sqref>G48</xm:sqref>
        </x14:conditionalFormatting>
        <x14:conditionalFormatting xmlns:xm="http://schemas.microsoft.com/office/excel/2006/main">
          <x14:cfRule type="expression" priority="460" id="{67591B4B-477C-4F44-9915-1F0AE49E799D}">
            <xm:f>OR(NOT('Equations HSC-AD'!$C$25),'Equations HSC-AD'!$F$267)</xm:f>
            <x14:dxf>
              <numFmt numFmtId="171" formatCode="\+0.0\ \K;\-0.0\ \K;0.0\ \K"/>
            </x14:dxf>
          </x14:cfRule>
          <x14:cfRule type="expression" priority="461" id="{B2F98982-14A7-4A08-99AE-8AA2F0E493A4}">
            <xm:f>'Equations HSC-AD'!$F$267</xm:f>
            <x14:dxf>
              <font>
                <color rgb="FFC00000"/>
              </font>
            </x14:dxf>
          </x14:cfRule>
          <xm:sqref>I48</xm:sqref>
        </x14:conditionalFormatting>
        <x14:conditionalFormatting xmlns:xm="http://schemas.microsoft.com/office/excel/2006/main">
          <x14:cfRule type="expression" priority="462" id="{7A754A53-B4EF-407C-B0D6-B178CF844BC4}">
            <xm:f>OR(NOT('Equations HSC-AD'!$C$25),'Equations HSC-AD'!$G$267)</xm:f>
            <x14:dxf>
              <numFmt numFmtId="171" formatCode="\+0.0\ \K;\-0.0\ \K;0.0\ \K"/>
            </x14:dxf>
          </x14:cfRule>
          <x14:cfRule type="expression" priority="463" id="{A5D67A5A-40D4-47CB-90D7-DE8BF7A0BE93}">
            <xm:f>'Equations HSC-AD'!$G$267</xm:f>
            <x14:dxf>
              <font>
                <color rgb="FFC00000"/>
              </font>
            </x14:dxf>
          </x14:cfRule>
          <xm:sqref>J48</xm:sqref>
        </x14:conditionalFormatting>
        <x14:conditionalFormatting xmlns:xm="http://schemas.microsoft.com/office/excel/2006/main">
          <x14:cfRule type="expression" priority="464" id="{61DB53A3-5E94-40E8-8756-00A4FA74BBDC}">
            <xm:f>OR(NOT('Equations HSC-AD'!$C$25),'Equations HSC-AD'!$H$267)</xm:f>
            <x14:dxf>
              <numFmt numFmtId="171" formatCode="\+0.0\ \K;\-0.0\ \K;0.0\ \K"/>
            </x14:dxf>
          </x14:cfRule>
          <x14:cfRule type="expression" priority="465" id="{C4C84165-BED9-46C5-9C23-760A5771C09F}">
            <xm:f>'Equations HSC-AD'!$H$267</xm:f>
            <x14:dxf>
              <font>
                <color rgb="FFC00000"/>
              </font>
            </x14:dxf>
          </x14:cfRule>
          <xm:sqref>K48</xm:sqref>
        </x14:conditionalFormatting>
        <x14:conditionalFormatting xmlns:xm="http://schemas.microsoft.com/office/excel/2006/main">
          <x14:cfRule type="expression" priority="466" id="{BCB9C242-0804-4A1F-8952-C60924A15D18}">
            <xm:f>OR(NOT('Equations HSC-AD'!$C$25),'Equations HSC-AD'!$I$267)</xm:f>
            <x14:dxf>
              <numFmt numFmtId="171" formatCode="\+0.0\ \K;\-0.0\ \K;0.0\ \K"/>
            </x14:dxf>
          </x14:cfRule>
          <x14:cfRule type="expression" priority="467" id="{4E6B33D4-2825-4C4D-9FB9-58226476C408}">
            <xm:f>'Equations HSC-AD'!$I$267</xm:f>
            <x14:dxf>
              <font>
                <color rgb="FFC00000"/>
              </font>
            </x14:dxf>
          </x14:cfRule>
          <xm:sqref>L48</xm:sqref>
        </x14:conditionalFormatting>
        <x14:conditionalFormatting xmlns:xm="http://schemas.microsoft.com/office/excel/2006/main">
          <x14:cfRule type="expression" priority="468" id="{517E22A1-C206-4D0B-8C5E-2128D93EC277}">
            <xm:f>OR(NOT('Equations HSC-AD'!$C$25),'Equations HSC-AD'!$J$267)</xm:f>
            <x14:dxf>
              <numFmt numFmtId="171" formatCode="\+0.0\ \K;\-0.0\ \K;0.0\ \K"/>
            </x14:dxf>
          </x14:cfRule>
          <x14:cfRule type="expression" priority="469" id="{7A3B032E-68D5-4AAD-B2C5-CAD18DA91C07}">
            <xm:f>'Equations HSC-AD'!$J$267</xm:f>
            <x14:dxf>
              <font>
                <color rgb="FFC00000"/>
              </font>
            </x14:dxf>
          </x14:cfRule>
          <xm:sqref>M48</xm:sqref>
        </x14:conditionalFormatting>
        <x14:conditionalFormatting xmlns:xm="http://schemas.microsoft.com/office/excel/2006/main">
          <x14:cfRule type="expression" priority="470" id="{F6256718-10C4-46D0-8DCF-C3762B2CC10B}">
            <xm:f>OR(NOT('Equations HSC-AD'!$C$25),'Equations HSC-AD'!$K$267)</xm:f>
            <x14:dxf>
              <numFmt numFmtId="171" formatCode="\+0.0\ \K;\-0.0\ \K;0.0\ \K"/>
            </x14:dxf>
          </x14:cfRule>
          <x14:cfRule type="expression" priority="471" id="{13E22DC6-61A6-4364-A7DB-F23688CC5036}">
            <xm:f>'Equations HSC-AD'!$K$267</xm:f>
            <x14:dxf>
              <font>
                <color rgb="FFC00000"/>
              </font>
            </x14:dxf>
          </x14:cfRule>
          <xm:sqref>N48</xm:sqref>
        </x14:conditionalFormatting>
        <x14:conditionalFormatting xmlns:xm="http://schemas.microsoft.com/office/excel/2006/main">
          <x14:cfRule type="expression" priority="472" id="{D73AACEB-FE84-41AB-9959-730A32C2D660}">
            <xm:f>OR(NOT('Equations HSC-AD'!$C$25),'Equations HSC-AD'!$L$267)</xm:f>
            <x14:dxf>
              <numFmt numFmtId="171" formatCode="\+0.0\ \K;\-0.0\ \K;0.0\ \K"/>
            </x14:dxf>
          </x14:cfRule>
          <x14:cfRule type="expression" priority="473" id="{DAABF07F-318D-469E-9157-43C5D4459D2F}">
            <xm:f>'Equations HSC-AD'!$L$267</xm:f>
            <x14:dxf>
              <font>
                <color rgb="FFC00000"/>
              </font>
            </x14:dxf>
          </x14:cfRule>
          <xm:sqref>O48</xm:sqref>
        </x14:conditionalFormatting>
        <x14:conditionalFormatting xmlns:xm="http://schemas.microsoft.com/office/excel/2006/main">
          <x14:cfRule type="expression" priority="474" id="{F8481108-C33B-4610-AD28-5B9D27D37FA4}">
            <xm:f>'Equations HSC-AD'!$M$267</xm:f>
            <x14:dxf>
              <font>
                <color rgb="FFC00000"/>
              </font>
            </x14:dxf>
          </x14:cfRule>
          <x14:cfRule type="expression" priority="475" id="{EFB7E7E3-4A2F-46EB-A2E8-5152F2A643AB}">
            <xm:f>OR(NOT('Equations HSC-AD'!$C$25),'Equations HSC-AD'!$M$267)</xm:f>
            <x14:dxf>
              <numFmt numFmtId="171" formatCode="\+0.0\ \K;\-0.0\ \K;0.0\ \K"/>
            </x14:dxf>
          </x14:cfRule>
          <xm:sqref>P48</xm:sqref>
        </x14:conditionalFormatting>
      </x14:conditionalFormattings>
    </ext>
    <ext xmlns:x14="http://schemas.microsoft.com/office/spreadsheetml/2009/9/main" uri="{CCE6A557-97BC-4b89-ADB6-D9C93CAAB3DF}">
      <x14:dataValidations xmlns:xm="http://schemas.microsoft.com/office/excel/2006/main" count="1">
        <x14:dataValidation type="decimal" operator="lessThan" allowBlank="1" showInputMessage="1" showErrorMessage="1" xr:uid="{00000000-0002-0000-0000-000005000000}">
          <x14:formula1>
            <xm:f>'Equations HSC-AD'!E63</xm:f>
          </x14:formula1>
          <xm:sqref>L17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F319"/>
  <sheetViews>
    <sheetView topLeftCell="A10" workbookViewId="0">
      <selection activeCell="C28" sqref="C28"/>
    </sheetView>
  </sheetViews>
  <sheetFormatPr defaultRowHeight="14.25"/>
  <cols>
    <col min="2" max="2" width="21.73046875" customWidth="1"/>
    <col min="3" max="3" width="10.46484375" customWidth="1"/>
    <col min="18" max="18" width="11.265625" customWidth="1"/>
    <col min="47" max="47" width="10.59765625" customWidth="1"/>
  </cols>
  <sheetData>
    <row r="1" spans="2:7" ht="19.899999999999999" thickBot="1">
      <c r="B1" s="27" t="s">
        <v>182</v>
      </c>
    </row>
    <row r="2" spans="2:7" ht="14.65" thickTop="1"/>
    <row r="3" spans="2:7">
      <c r="B3" t="s">
        <v>183</v>
      </c>
      <c r="C3">
        <v>1</v>
      </c>
      <c r="D3" t="str">
        <f>IF(C3=1,"[L/s]","[m³/h]")</f>
        <v>[L/s]</v>
      </c>
      <c r="E3" t="str">
        <f>IF(C3=1,"L/s","m³/h")</f>
        <v>L/s</v>
      </c>
      <c r="G3" t="str">
        <f>IF(C3=1,"L/s/m²","m³/h/m²")</f>
        <v>L/s/m²</v>
      </c>
    </row>
    <row r="4" spans="2:7">
      <c r="B4" t="s">
        <v>184</v>
      </c>
      <c r="C4">
        <f>IF(C3=1,1,3.6)</f>
        <v>1</v>
      </c>
    </row>
    <row r="6" spans="2:7">
      <c r="B6" t="s">
        <v>268</v>
      </c>
      <c r="C6">
        <f>IF(C3=1,3.6,1/3.6)</f>
        <v>3.6</v>
      </c>
      <c r="D6" t="str">
        <f>IF(C3=2,"L/s","m³/h")</f>
        <v>m³/h</v>
      </c>
    </row>
    <row r="8" spans="2:7" ht="19.899999999999999" thickBot="1">
      <c r="B8" s="27" t="s">
        <v>20</v>
      </c>
    </row>
    <row r="9" spans="2:7" ht="14.65" thickTop="1"/>
    <row r="10" spans="2:7">
      <c r="B10" t="s">
        <v>21</v>
      </c>
    </row>
    <row r="11" spans="2:7">
      <c r="B11" t="s">
        <v>22</v>
      </c>
      <c r="C11">
        <f>'HSC-AD'!E9/C4</f>
        <v>600</v>
      </c>
    </row>
    <row r="12" spans="2:7">
      <c r="B12" t="s">
        <v>300</v>
      </c>
      <c r="C12">
        <f>'HSC-AD'!E11/100</f>
        <v>1</v>
      </c>
    </row>
    <row r="13" spans="2:7">
      <c r="B13" t="s">
        <v>301</v>
      </c>
      <c r="C13">
        <f>C12*C11</f>
        <v>600</v>
      </c>
    </row>
    <row r="14" spans="2:7">
      <c r="B14" t="s">
        <v>23</v>
      </c>
      <c r="C14">
        <f>'HSC-AD'!E13</f>
        <v>60</v>
      </c>
    </row>
    <row r="15" spans="2:7">
      <c r="B15" t="s">
        <v>24</v>
      </c>
      <c r="C15">
        <f>'HSC-AD'!E15</f>
        <v>6</v>
      </c>
    </row>
    <row r="16" spans="2:7">
      <c r="B16" t="s">
        <v>75</v>
      </c>
      <c r="C16">
        <f>IF(ABS('HSC-AD'!E17)&lt;6,6,ABS('HSC-AD'!E17))</f>
        <v>12</v>
      </c>
    </row>
    <row r="17" spans="2:11">
      <c r="B17" t="s">
        <v>33</v>
      </c>
      <c r="C17">
        <f>'HSC-AD'!$L$27</f>
        <v>16</v>
      </c>
    </row>
    <row r="19" spans="2:11">
      <c r="B19" t="s">
        <v>76</v>
      </c>
      <c r="C19" s="47">
        <f>'HSC-AD'!L9</f>
        <v>0.9</v>
      </c>
    </row>
    <row r="20" spans="2:11">
      <c r="B20" t="s">
        <v>63</v>
      </c>
      <c r="C20">
        <f>VLOOKUP(C19,'HSC-AD data'!B2:C5,2,0)</f>
        <v>0.25</v>
      </c>
    </row>
    <row r="21" spans="2:11">
      <c r="B21" t="s">
        <v>80</v>
      </c>
      <c r="C21">
        <f>'HSC-AD'!$L$23</f>
        <v>23</v>
      </c>
      <c r="D21" t="s">
        <v>31</v>
      </c>
      <c r="J21" s="47"/>
      <c r="K21" s="47"/>
    </row>
    <row r="22" spans="2:11">
      <c r="B22" t="s">
        <v>218</v>
      </c>
      <c r="C22" s="92" t="b">
        <v>0</v>
      </c>
      <c r="J22" s="47"/>
      <c r="K22" s="47"/>
    </row>
    <row r="23" spans="2:11">
      <c r="B23" t="s">
        <v>96</v>
      </c>
      <c r="C23">
        <f>IF(C22,'HSC-AD'!L25,'Equations HSC-AD'!C21-2)</f>
        <v>21</v>
      </c>
    </row>
    <row r="24" spans="2:11">
      <c r="B24" t="s">
        <v>81</v>
      </c>
      <c r="C24">
        <f>VLOOKUP(C19,B31:C34,2,0)</f>
        <v>4</v>
      </c>
      <c r="D24" t="s">
        <v>6</v>
      </c>
    </row>
    <row r="25" spans="2:11">
      <c r="B25" t="s">
        <v>219</v>
      </c>
      <c r="C25" t="b">
        <v>0</v>
      </c>
      <c r="E25" s="47"/>
    </row>
    <row r="26" spans="2:11">
      <c r="B26" t="s">
        <v>220</v>
      </c>
      <c r="C26">
        <f>'HSC-AD'!L21</f>
        <v>4</v>
      </c>
      <c r="D26" t="s">
        <v>6</v>
      </c>
      <c r="E26" s="47"/>
    </row>
    <row r="27" spans="2:11">
      <c r="B27" t="s">
        <v>404</v>
      </c>
      <c r="C27">
        <f>IF(C15&lt;4.5, 1.39*C15-1.75,C15)</f>
        <v>6</v>
      </c>
      <c r="E27" s="47"/>
    </row>
    <row r="28" spans="2:11">
      <c r="E28" s="47"/>
    </row>
    <row r="29" spans="2:11">
      <c r="B29" t="s">
        <v>246</v>
      </c>
    </row>
    <row r="30" spans="2:11">
      <c r="B30" t="s">
        <v>76</v>
      </c>
      <c r="E30" t="s">
        <v>257</v>
      </c>
      <c r="F30" t="s">
        <v>258</v>
      </c>
    </row>
    <row r="31" spans="2:11">
      <c r="B31" s="47">
        <v>0.7</v>
      </c>
      <c r="C31">
        <v>0</v>
      </c>
      <c r="D31">
        <f>(C34-C31)/25</f>
        <v>0.2</v>
      </c>
      <c r="E31">
        <v>0.9</v>
      </c>
      <c r="F31" s="47">
        <f>VLOOKUP(C19,B31:E34,4,0)</f>
        <v>1.1000000000000001</v>
      </c>
    </row>
    <row r="32" spans="2:11">
      <c r="B32" s="47">
        <v>0.8</v>
      </c>
      <c r="C32">
        <f>C31+D31*10</f>
        <v>2</v>
      </c>
      <c r="E32">
        <v>1</v>
      </c>
      <c r="F32" s="47"/>
    </row>
    <row r="33" spans="2:5">
      <c r="B33" s="47">
        <v>0.9</v>
      </c>
      <c r="C33">
        <f>C31+D31*20</f>
        <v>4</v>
      </c>
      <c r="E33">
        <v>1.1000000000000001</v>
      </c>
    </row>
    <row r="34" spans="2:5">
      <c r="B34" s="47">
        <v>0.95</v>
      </c>
      <c r="C34">
        <f>C23-C17</f>
        <v>5</v>
      </c>
      <c r="E34">
        <v>1.1499999999999999</v>
      </c>
    </row>
    <row r="35" spans="2:5">
      <c r="E35" s="47"/>
    </row>
    <row r="36" spans="2:5">
      <c r="B36" t="s">
        <v>304</v>
      </c>
      <c r="C36">
        <v>2</v>
      </c>
      <c r="D36" t="str">
        <f>IF(C36=1,"ceiling","free")</f>
        <v>free</v>
      </c>
      <c r="E36" s="47"/>
    </row>
    <row r="37" spans="2:5">
      <c r="B37" t="s">
        <v>308</v>
      </c>
      <c r="C37">
        <f>IF(C36=1,1,0.85)</f>
        <v>0.85</v>
      </c>
      <c r="E37" s="47"/>
    </row>
    <row r="38" spans="2:5">
      <c r="B38" t="s">
        <v>309</v>
      </c>
      <c r="C38">
        <f>IF(C36=1,1,0.8)</f>
        <v>0.8</v>
      </c>
      <c r="E38" s="47"/>
    </row>
    <row r="39" spans="2:5">
      <c r="E39" s="47"/>
    </row>
    <row r="40" spans="2:5">
      <c r="B40" t="s">
        <v>48</v>
      </c>
      <c r="C40" t="s">
        <v>62</v>
      </c>
    </row>
    <row r="41" spans="2:5">
      <c r="B41" t="s">
        <v>30</v>
      </c>
      <c r="C41" t="s">
        <v>60</v>
      </c>
      <c r="D41" t="s">
        <v>61</v>
      </c>
      <c r="E41" t="s">
        <v>59</v>
      </c>
    </row>
    <row r="42" spans="2:5">
      <c r="B42">
        <v>2.7</v>
      </c>
      <c r="C42">
        <v>4510</v>
      </c>
      <c r="D42">
        <v>2.2692999999999999</v>
      </c>
      <c r="E42">
        <f>C42*$C$20^D42</f>
        <v>194.05364448580664</v>
      </c>
    </row>
    <row r="43" spans="2:5">
      <c r="B43">
        <v>4</v>
      </c>
      <c r="C43">
        <v>3884</v>
      </c>
      <c r="D43">
        <v>2.2425999999999999</v>
      </c>
      <c r="E43">
        <f>C43*$C$20^D43</f>
        <v>173.42012091102143</v>
      </c>
    </row>
    <row r="44" spans="2:5">
      <c r="B44">
        <v>10.0000000001</v>
      </c>
      <c r="C44">
        <v>3435</v>
      </c>
      <c r="D44">
        <v>2.2753999999999999</v>
      </c>
      <c r="E44">
        <f>C44*$C$20^D44</f>
        <v>146.55459415179587</v>
      </c>
    </row>
    <row r="45" spans="2:5">
      <c r="B45" s="45">
        <v>30</v>
      </c>
      <c r="C45" s="45">
        <v>2736</v>
      </c>
      <c r="D45" s="45">
        <v>2.2624333333333335</v>
      </c>
      <c r="E45">
        <f>C45*$C$20^D45</f>
        <v>118.84899126806246</v>
      </c>
    </row>
    <row r="46" spans="2:5">
      <c r="C46" t="s">
        <v>264</v>
      </c>
      <c r="D46" t="s">
        <v>61</v>
      </c>
      <c r="E46" t="s">
        <v>279</v>
      </c>
    </row>
    <row r="47" spans="2:5">
      <c r="B47" s="45">
        <f>MIN($C$15,10)</f>
        <v>6</v>
      </c>
      <c r="C47" s="45">
        <f>EXP(INDEX(LINEST(LN(E42:E45),LN(B42:B45),,),1,2))</f>
        <v>232.52865309533729</v>
      </c>
      <c r="D47" s="304">
        <f>INDEX(LINEST(LN(E42:E45),LN(B42:B45),,),1)</f>
        <v>-0.19879810017849303</v>
      </c>
      <c r="E47" s="45">
        <f>C47*B47^D47</f>
        <v>162.84764624372622</v>
      </c>
    </row>
    <row r="48" spans="2:5">
      <c r="B48" s="31" t="s">
        <v>280</v>
      </c>
      <c r="C48" s="31">
        <f>$E$47/$C$16</f>
        <v>13.570637186977185</v>
      </c>
      <c r="E48" s="47"/>
    </row>
    <row r="49" spans="2:7">
      <c r="B49" s="31" t="s">
        <v>281</v>
      </c>
      <c r="C49" s="31">
        <f>C48+C50</f>
        <v>17.570637186977187</v>
      </c>
      <c r="E49" s="47"/>
    </row>
    <row r="50" spans="2:7">
      <c r="B50" t="s">
        <v>332</v>
      </c>
      <c r="C50">
        <v>4</v>
      </c>
      <c r="E50" s="47"/>
    </row>
    <row r="51" spans="2:7">
      <c r="E51" s="47"/>
    </row>
    <row r="52" spans="2:7">
      <c r="B52" t="s">
        <v>47</v>
      </c>
      <c r="E52" s="47"/>
    </row>
    <row r="53" spans="2:7">
      <c r="B53" t="s">
        <v>76</v>
      </c>
      <c r="C53" t="s">
        <v>291</v>
      </c>
      <c r="D53" t="s">
        <v>292</v>
      </c>
      <c r="F53" t="s">
        <v>293</v>
      </c>
      <c r="G53" t="s">
        <v>294</v>
      </c>
    </row>
    <row r="54" spans="2:7">
      <c r="B54" s="47">
        <v>0.95</v>
      </c>
      <c r="C54">
        <v>0.95499999999999996</v>
      </c>
      <c r="D54">
        <v>1.27</v>
      </c>
      <c r="F54">
        <v>5.3170379048810661</v>
      </c>
      <c r="G54">
        <v>4.4308649207342219</v>
      </c>
    </row>
    <row r="55" spans="2:7">
      <c r="B55" s="47">
        <v>0.9</v>
      </c>
      <c r="C55">
        <v>0.75</v>
      </c>
      <c r="D55">
        <v>1</v>
      </c>
      <c r="F55">
        <v>6</v>
      </c>
      <c r="G55">
        <v>5</v>
      </c>
    </row>
    <row r="56" spans="2:7">
      <c r="B56" s="47">
        <v>0.8</v>
      </c>
      <c r="C56">
        <v>0.5</v>
      </c>
      <c r="D56">
        <v>0.66</v>
      </c>
      <c r="F56">
        <v>7.3659241902378696</v>
      </c>
      <c r="G56">
        <v>6.138270158531558</v>
      </c>
    </row>
    <row r="57" spans="2:7">
      <c r="B57" s="282">
        <v>0.7</v>
      </c>
      <c r="C57" s="45">
        <v>0.35</v>
      </c>
      <c r="D57" s="45">
        <v>0.47</v>
      </c>
      <c r="E57" s="45"/>
      <c r="F57" s="45">
        <v>8.7318483804757356</v>
      </c>
      <c r="G57" s="45">
        <v>7.2765403170631142</v>
      </c>
    </row>
    <row r="58" spans="2:7">
      <c r="B58" t="s">
        <v>295</v>
      </c>
      <c r="C58" s="31">
        <f>VLOOKUP($C$19,B54:D57,2,0)</f>
        <v>0.75</v>
      </c>
      <c r="E58" t="s">
        <v>296</v>
      </c>
      <c r="F58" s="31">
        <f>VLOOKUP($C$19,B53:G57,5,0)</f>
        <v>6</v>
      </c>
      <c r="G58" t="s">
        <v>321</v>
      </c>
    </row>
    <row r="59" spans="2:7">
      <c r="B59" t="s">
        <v>297</v>
      </c>
      <c r="C59" s="31">
        <f>VLOOKUP($C$19,B54:D57,3,0)</f>
        <v>1</v>
      </c>
      <c r="F59" s="31">
        <f>VLOOKUP($C$19,B53:G57,6,0)</f>
        <v>5</v>
      </c>
    </row>
    <row r="61" spans="2:7">
      <c r="B61" t="s">
        <v>110</v>
      </c>
      <c r="C61" s="92">
        <v>1</v>
      </c>
      <c r="E61" s="47"/>
    </row>
    <row r="62" spans="2:7">
      <c r="B62" t="s">
        <v>103</v>
      </c>
      <c r="C62">
        <f>'HSC-AD'!L15</f>
        <v>11.7</v>
      </c>
      <c r="E62" s="47"/>
    </row>
    <row r="63" spans="2:7">
      <c r="B63" t="s">
        <v>343</v>
      </c>
      <c r="C63" s="52">
        <f>'HSC-AD'!L17/C4</f>
        <v>10</v>
      </c>
      <c r="D63" t="s">
        <v>186</v>
      </c>
      <c r="E63">
        <f>IF(C3=1,31,109)</f>
        <v>31</v>
      </c>
    </row>
    <row r="64" spans="2:7">
      <c r="B64" t="s">
        <v>342</v>
      </c>
      <c r="C64" s="32">
        <f>SQRT(C11/C63)</f>
        <v>7.745966692414834</v>
      </c>
      <c r="E64" s="47"/>
    </row>
    <row r="65" spans="2:56">
      <c r="C65" s="50"/>
      <c r="D65" t="s">
        <v>112</v>
      </c>
      <c r="E65" s="47"/>
    </row>
    <row r="66" spans="2:56">
      <c r="B66" t="s">
        <v>116</v>
      </c>
      <c r="C66" s="47">
        <f>'HSC-AD'!L29</f>
        <v>0</v>
      </c>
      <c r="D66" s="30">
        <f>1+C66</f>
        <v>1</v>
      </c>
      <c r="E66" s="47"/>
    </row>
    <row r="68" spans="2:56">
      <c r="B68" t="s">
        <v>231</v>
      </c>
      <c r="C68">
        <v>4.6420000000000003</v>
      </c>
    </row>
    <row r="70" spans="2:56" ht="17.25" thickBot="1">
      <c r="B70" s="28" t="s">
        <v>25</v>
      </c>
      <c r="E70" t="s">
        <v>286</v>
      </c>
      <c r="F70" t="s">
        <v>287</v>
      </c>
      <c r="L70" s="28" t="s">
        <v>36</v>
      </c>
      <c r="V70" s="28" t="s">
        <v>38</v>
      </c>
      <c r="AF70" s="28" t="s">
        <v>39</v>
      </c>
      <c r="AP70" s="28" t="s">
        <v>53</v>
      </c>
      <c r="AZ70" s="28" t="s">
        <v>276</v>
      </c>
    </row>
    <row r="71" spans="2:56" ht="14.65" thickTop="1">
      <c r="B71" t="s">
        <v>26</v>
      </c>
      <c r="C71">
        <f>E71*($C$11/F71)^2</f>
        <v>543.4126313247192</v>
      </c>
      <c r="D71" t="s">
        <v>27</v>
      </c>
      <c r="E71">
        <v>50</v>
      </c>
      <c r="F71">
        <v>182</v>
      </c>
      <c r="G71">
        <f>E76/F71</f>
        <v>0.46373626373626375</v>
      </c>
      <c r="L71" t="s">
        <v>26</v>
      </c>
      <c r="M71">
        <f>O71*($C$11/P71)^2</f>
        <v>106.04203977754736</v>
      </c>
      <c r="N71" t="s">
        <v>27</v>
      </c>
      <c r="O71">
        <v>50</v>
      </c>
      <c r="P71">
        <v>412</v>
      </c>
      <c r="Q71">
        <f>O76/P71</f>
        <v>0.4116504854368932</v>
      </c>
      <c r="V71" t="s">
        <v>26</v>
      </c>
      <c r="W71">
        <f>Y71*($C$11/Z71)^2</f>
        <v>35.506880444388329</v>
      </c>
      <c r="X71" t="s">
        <v>27</v>
      </c>
      <c r="Y71">
        <v>50</v>
      </c>
      <c r="Z71">
        <v>712</v>
      </c>
      <c r="AF71" t="s">
        <v>26</v>
      </c>
      <c r="AG71">
        <f>AI71*($C$11/AJ71)^2</f>
        <v>8.7329131346103051</v>
      </c>
      <c r="AH71" t="s">
        <v>27</v>
      </c>
      <c r="AI71">
        <v>50</v>
      </c>
      <c r="AJ71">
        <f>Z71*(710/500)^2</f>
        <v>1435.6768</v>
      </c>
      <c r="AP71" t="s">
        <v>26</v>
      </c>
      <c r="AQ71">
        <f>AS71*($C$11/AT71)^2</f>
        <v>2.2191800277742719</v>
      </c>
      <c r="AR71" t="s">
        <v>27</v>
      </c>
      <c r="AS71">
        <v>50</v>
      </c>
      <c r="AT71">
        <f>AJ71*(1000/710)^2</f>
        <v>2847.9999999999995</v>
      </c>
      <c r="AZ71" t="s">
        <v>26</v>
      </c>
      <c r="BA71">
        <f>BC71*($C$11/BD71)^2</f>
        <v>0.68829298248912263</v>
      </c>
      <c r="BB71" t="s">
        <v>27</v>
      </c>
      <c r="BC71">
        <v>50</v>
      </c>
      <c r="BD71">
        <f>AT71*(1340/1000)^2</f>
        <v>5113.8688000000002</v>
      </c>
    </row>
    <row r="72" spans="2:56">
      <c r="B72" t="s">
        <v>272</v>
      </c>
      <c r="C72">
        <v>250</v>
      </c>
      <c r="L72" t="s">
        <v>272</v>
      </c>
      <c r="M72">
        <v>355</v>
      </c>
      <c r="V72" t="s">
        <v>272</v>
      </c>
      <c r="W72">
        <v>500</v>
      </c>
      <c r="Y72">
        <f>Y71*(Z72/Z71)^2</f>
        <v>42.96332533770989</v>
      </c>
      <c r="Z72">
        <v>660</v>
      </c>
      <c r="AF72" t="s">
        <v>272</v>
      </c>
      <c r="AG72">
        <v>710</v>
      </c>
      <c r="AP72" t="s">
        <v>272</v>
      </c>
      <c r="AQ72">
        <v>1000</v>
      </c>
      <c r="AZ72" t="s">
        <v>272</v>
      </c>
      <c r="BA72">
        <v>1340</v>
      </c>
    </row>
    <row r="73" spans="2:56">
      <c r="B73" t="s">
        <v>273</v>
      </c>
      <c r="C73" s="33">
        <f>PI()*(C72/2000)^2</f>
        <v>4.9087385212340517E-2</v>
      </c>
      <c r="L73" t="s">
        <v>273</v>
      </c>
      <c r="M73" s="33">
        <f t="shared" ref="M73" si="0">PI()*(M72/2000)^2</f>
        <v>9.8979803542163416E-2</v>
      </c>
      <c r="V73" t="s">
        <v>273</v>
      </c>
      <c r="W73" s="33">
        <f t="shared" ref="W73" si="1">PI()*(W72/2000)^2</f>
        <v>0.19634954084936207</v>
      </c>
      <c r="AA73">
        <f>440*1.75</f>
        <v>770</v>
      </c>
      <c r="AF73" t="s">
        <v>273</v>
      </c>
      <c r="AG73" s="33">
        <f t="shared" ref="AG73" si="2">PI()*(AG72/2000)^2</f>
        <v>0.39591921416865367</v>
      </c>
      <c r="AP73" t="s">
        <v>273</v>
      </c>
      <c r="AQ73" s="33">
        <f t="shared" ref="AQ73" si="3">PI()*(AQ72/2000)^2</f>
        <v>0.78539816339744828</v>
      </c>
      <c r="AZ73" t="s">
        <v>273</v>
      </c>
      <c r="BA73" s="33">
        <f t="shared" ref="BA73" si="4">PI()*(BA72/2000)^2</f>
        <v>1.4102609421964585</v>
      </c>
    </row>
    <row r="74" spans="2:56">
      <c r="B74" t="s">
        <v>271</v>
      </c>
      <c r="C74">
        <f>C71-(0.5*1.225*($C$11/(1000*C73))^2)</f>
        <v>451.90258053683624</v>
      </c>
      <c r="L74" t="s">
        <v>271</v>
      </c>
      <c r="M74">
        <f t="shared" ref="M74" si="5">M71-(0.5*1.225*($C$11/(1000*M73))^2)</f>
        <v>83.535153380529053</v>
      </c>
      <c r="V74" t="s">
        <v>271</v>
      </c>
      <c r="W74">
        <f t="shared" ref="W74" si="6">W71-(0.5*1.225*($C$11/(1000*W73))^2)</f>
        <v>29.787502270145644</v>
      </c>
      <c r="AF74" t="s">
        <v>271</v>
      </c>
      <c r="AG74">
        <f t="shared" ref="AG74" si="7">AG71-(0.5*1.225*($C$11/(1000*AG73))^2)</f>
        <v>7.3262327347966609</v>
      </c>
      <c r="AP74" t="s">
        <v>271</v>
      </c>
      <c r="AQ74">
        <f t="shared" ref="AQ74" si="8">AQ71-(0.5*1.225*($C$11/(1000*AQ73))^2)</f>
        <v>1.8617188918841041</v>
      </c>
      <c r="AZ74" t="s">
        <v>271</v>
      </c>
      <c r="BA74">
        <f t="shared" ref="BA74" si="9">BA71-(0.5*1.225*($C$11/(1000*BA73))^2)</f>
        <v>0.57742410828041002</v>
      </c>
    </row>
    <row r="75" spans="2:56">
      <c r="B75" t="s">
        <v>51</v>
      </c>
      <c r="C75">
        <f>F71*SQRT($C$14/E71)</f>
        <v>199.37101093188045</v>
      </c>
      <c r="L75" t="s">
        <v>51</v>
      </c>
      <c r="M75">
        <f>P71*SQRT($C$14/O71)</f>
        <v>451.32338738425682</v>
      </c>
      <c r="V75" t="s">
        <v>51</v>
      </c>
      <c r="W75">
        <f>Z71*SQRT($C$14/Y71)</f>
        <v>779.95692188735654</v>
      </c>
      <c r="AF75" t="s">
        <v>51</v>
      </c>
      <c r="AG75">
        <f>AJ71*SQRT($C$14/AI71)</f>
        <v>1572.7051372936655</v>
      </c>
      <c r="AP75" t="s">
        <v>51</v>
      </c>
      <c r="AQ75">
        <f>AT71*SQRT($C$14/AS71)</f>
        <v>3119.8276875494253</v>
      </c>
      <c r="AZ75" t="s">
        <v>51</v>
      </c>
      <c r="BA75">
        <f>BD71*SQRT($C$14/BC71)</f>
        <v>5601.9625957637491</v>
      </c>
    </row>
    <row r="76" spans="2:56">
      <c r="B76" t="s">
        <v>105</v>
      </c>
      <c r="C76">
        <f>E76*SQRT($C$16/F76)</f>
        <v>84.4</v>
      </c>
      <c r="D76" t="s">
        <v>107</v>
      </c>
      <c r="E76">
        <v>84.4</v>
      </c>
      <c r="F76">
        <v>12</v>
      </c>
      <c r="L76" t="s">
        <v>105</v>
      </c>
      <c r="M76">
        <f>O76*SQRT($C$16/P76)</f>
        <v>169.6</v>
      </c>
      <c r="N76" t="s">
        <v>107</v>
      </c>
      <c r="O76">
        <v>169.6</v>
      </c>
      <c r="P76">
        <v>12</v>
      </c>
      <c r="V76" t="s">
        <v>105</v>
      </c>
      <c r="W76">
        <f>Y76*SQRT($C$16/Z76)</f>
        <v>335</v>
      </c>
      <c r="X76" t="s">
        <v>107</v>
      </c>
      <c r="Y76">
        <v>335</v>
      </c>
      <c r="Z76">
        <v>12</v>
      </c>
      <c r="AF76" t="s">
        <v>105</v>
      </c>
      <c r="AG76">
        <f>AI76*SQRT($C$16/AJ76)</f>
        <v>672.6</v>
      </c>
      <c r="AH76" t="s">
        <v>107</v>
      </c>
      <c r="AI76">
        <v>672.6</v>
      </c>
      <c r="AJ76">
        <v>12</v>
      </c>
      <c r="AP76" t="s">
        <v>105</v>
      </c>
      <c r="AQ76">
        <f>AS76*SQRT($C$16/AT76)</f>
        <v>1328.8</v>
      </c>
      <c r="AR76" t="s">
        <v>107</v>
      </c>
      <c r="AS76">
        <v>1328.8</v>
      </c>
      <c r="AT76">
        <v>12</v>
      </c>
      <c r="AZ76" t="s">
        <v>105</v>
      </c>
      <c r="BA76">
        <f>BC76*SQRT($C$16/BD76)</f>
        <v>2385.9932800000001</v>
      </c>
      <c r="BB76" t="s">
        <v>107</v>
      </c>
      <c r="BC76">
        <f>1328.8*(1340/1000)^2</f>
        <v>2385.9932800000001</v>
      </c>
      <c r="BD76">
        <v>12</v>
      </c>
    </row>
    <row r="77" spans="2:56">
      <c r="B77" t="s">
        <v>28</v>
      </c>
      <c r="C77" s="30">
        <f>E77*LN(C71)+F77</f>
        <v>81.575058630981218</v>
      </c>
      <c r="E77" s="30">
        <v>14.05</v>
      </c>
      <c r="F77">
        <v>-6.91</v>
      </c>
      <c r="L77" t="s">
        <v>28</v>
      </c>
      <c r="M77" s="30">
        <f>O77*LN(M71)+P77</f>
        <v>61.19301918837813</v>
      </c>
      <c r="O77" s="30">
        <v>14.24</v>
      </c>
      <c r="P77">
        <v>-5.22</v>
      </c>
      <c r="V77" t="s">
        <v>28</v>
      </c>
      <c r="W77" s="30">
        <f>Y77*LN(W71)+Z77</f>
        <v>45.981391585491394</v>
      </c>
      <c r="Y77">
        <v>14.29</v>
      </c>
      <c r="Z77">
        <v>-5.03</v>
      </c>
      <c r="AF77" t="s">
        <v>28</v>
      </c>
      <c r="AG77" s="30">
        <f>AI77*LN(AG71)+AJ77</f>
        <v>29.070295652007125</v>
      </c>
      <c r="AI77" s="30">
        <v>14.33</v>
      </c>
      <c r="AJ77" s="30">
        <v>-1.9842331123388708</v>
      </c>
      <c r="AP77" t="s">
        <v>28</v>
      </c>
      <c r="AQ77" s="30">
        <f>AS77*LN(AQ71)+AT77</f>
        <v>12.484518030839062</v>
      </c>
      <c r="AS77" s="30">
        <v>14.33</v>
      </c>
      <c r="AT77">
        <v>1.0615337753222587</v>
      </c>
      <c r="AZ77" t="s">
        <v>28</v>
      </c>
      <c r="BA77" s="30">
        <f>BC77*LN(BA71)+BD77</f>
        <v>-2.1255373538486588</v>
      </c>
      <c r="BC77" s="30">
        <v>14.33</v>
      </c>
      <c r="BD77" s="30">
        <v>3.2273006629833882</v>
      </c>
    </row>
    <row r="78" spans="2:56">
      <c r="B78" t="s">
        <v>232</v>
      </c>
      <c r="C78" s="30">
        <v>250</v>
      </c>
      <c r="E78" s="30"/>
      <c r="F78" s="30"/>
      <c r="L78" t="s">
        <v>232</v>
      </c>
      <c r="M78" s="30">
        <v>355</v>
      </c>
      <c r="O78" s="30"/>
      <c r="P78" s="30"/>
      <c r="V78" t="s">
        <v>232</v>
      </c>
      <c r="W78" s="30">
        <v>500</v>
      </c>
      <c r="Y78" s="30"/>
      <c r="Z78" s="30"/>
      <c r="AF78" t="s">
        <v>232</v>
      </c>
      <c r="AG78" s="30">
        <v>710</v>
      </c>
      <c r="AI78" s="30"/>
      <c r="AJ78" s="30"/>
      <c r="AP78" t="s">
        <v>232</v>
      </c>
      <c r="AQ78" s="30">
        <v>1000</v>
      </c>
      <c r="AS78" s="30"/>
      <c r="AT78" s="30"/>
      <c r="AZ78" t="s">
        <v>232</v>
      </c>
      <c r="BA78" s="30">
        <v>1340</v>
      </c>
      <c r="BC78" s="30"/>
      <c r="BD78" s="30"/>
    </row>
    <row r="79" spans="2:56">
      <c r="B79" t="s">
        <v>104</v>
      </c>
      <c r="C79" s="33">
        <f>PI()*(C78/2000)^2</f>
        <v>4.9087385212340517E-2</v>
      </c>
      <c r="E79" s="30"/>
      <c r="F79" s="30"/>
      <c r="L79" t="s">
        <v>104</v>
      </c>
      <c r="M79" s="33">
        <f>PI()*(M78/2000)^2</f>
        <v>9.8979803542163416E-2</v>
      </c>
      <c r="O79" s="30"/>
      <c r="P79" s="30"/>
      <c r="V79" t="s">
        <v>104</v>
      </c>
      <c r="W79" s="33">
        <f>PI()*(W78/2000)^2</f>
        <v>0.19634954084936207</v>
      </c>
      <c r="Y79" s="30"/>
      <c r="Z79" s="30"/>
      <c r="AF79" t="s">
        <v>104</v>
      </c>
      <c r="AG79" s="33">
        <f>PI()*(AG78/2000)^2</f>
        <v>0.39591921416865367</v>
      </c>
      <c r="AI79" s="30"/>
      <c r="AJ79" s="30"/>
      <c r="AP79" t="s">
        <v>104</v>
      </c>
      <c r="AQ79" s="33">
        <f>PI()*(AQ78/2000)^2</f>
        <v>0.78539816339744828</v>
      </c>
      <c r="AS79" s="30"/>
      <c r="AT79" s="30"/>
      <c r="AZ79" t="s">
        <v>104</v>
      </c>
      <c r="BA79" s="33">
        <f>PI()*(BA78/2000)^2</f>
        <v>1.4102609421964585</v>
      </c>
      <c r="BC79" s="30"/>
      <c r="BD79" s="30"/>
    </row>
    <row r="80" spans="2:56">
      <c r="B80" t="s">
        <v>233</v>
      </c>
      <c r="C80" s="33">
        <f>$C$11/1000/C79</f>
        <v>12.223099629457561</v>
      </c>
      <c r="E80" s="30"/>
      <c r="F80" s="30"/>
      <c r="L80" t="s">
        <v>233</v>
      </c>
      <c r="M80" s="33">
        <f>$C$11/1000/M79</f>
        <v>6.0618427045514593</v>
      </c>
      <c r="O80" s="30"/>
      <c r="P80" s="30"/>
      <c r="V80" t="s">
        <v>233</v>
      </c>
      <c r="W80" s="33">
        <f>$C$11/1000/W79</f>
        <v>3.0557749073643903</v>
      </c>
      <c r="Y80" s="30"/>
      <c r="Z80" s="30"/>
      <c r="AF80" t="s">
        <v>233</v>
      </c>
      <c r="AG80" s="33">
        <f>$C$11/1000/AG79</f>
        <v>1.5154606761378648</v>
      </c>
      <c r="AI80" s="30"/>
      <c r="AJ80" s="30"/>
      <c r="AP80" t="s">
        <v>233</v>
      </c>
      <c r="AQ80" s="33">
        <f>$C$11/1000/AQ79</f>
        <v>0.76394372684109757</v>
      </c>
      <c r="AS80" s="30"/>
      <c r="AT80" s="30"/>
      <c r="AZ80" t="s">
        <v>233</v>
      </c>
      <c r="BA80" s="33">
        <f>$C$11/1000/BA79</f>
        <v>0.42545317823629841</v>
      </c>
      <c r="BC80" s="30"/>
      <c r="BD80" s="30"/>
    </row>
    <row r="81" spans="2:58">
      <c r="C81" s="33"/>
      <c r="E81" s="30"/>
      <c r="F81" s="30"/>
      <c r="M81" s="33"/>
      <c r="O81" s="30"/>
      <c r="P81" s="30"/>
      <c r="W81" s="33"/>
      <c r="Y81" s="30"/>
      <c r="Z81" s="30"/>
      <c r="AG81" s="33"/>
      <c r="AI81" s="30"/>
      <c r="AJ81" s="30"/>
      <c r="AQ81" s="33"/>
      <c r="AS81" s="30"/>
      <c r="AT81" s="30"/>
      <c r="BA81" s="33"/>
      <c r="BC81" s="30"/>
      <c r="BD81" s="30"/>
    </row>
    <row r="82" spans="2:58">
      <c r="B82" s="31" t="s">
        <v>323</v>
      </c>
      <c r="C82" s="33"/>
      <c r="E82" s="30"/>
      <c r="F82" s="30"/>
      <c r="L82" s="31" t="s">
        <v>323</v>
      </c>
      <c r="M82" s="33"/>
      <c r="O82" s="30"/>
      <c r="P82" s="30"/>
      <c r="V82" s="31" t="s">
        <v>323</v>
      </c>
      <c r="W82" s="33"/>
      <c r="Y82" s="30"/>
      <c r="Z82" s="30"/>
      <c r="AF82" s="31" t="s">
        <v>323</v>
      </c>
      <c r="AG82" s="33"/>
      <c r="AI82" s="30"/>
      <c r="AJ82" s="30"/>
      <c r="AP82" s="31" t="s">
        <v>323</v>
      </c>
      <c r="AQ82" s="33"/>
      <c r="AS82" s="30"/>
      <c r="AT82" s="30"/>
      <c r="AZ82" s="31" t="s">
        <v>323</v>
      </c>
      <c r="BA82" s="33"/>
      <c r="BC82" s="30"/>
      <c r="BD82" s="30"/>
    </row>
    <row r="83" spans="2:58">
      <c r="B83" t="s">
        <v>29</v>
      </c>
      <c r="C83" s="30">
        <f>(3.33/$C$27)^2*$C$68*C80^2*SQRT(C79)*1.2</f>
        <v>56.796294328772881</v>
      </c>
      <c r="D83" s="31"/>
      <c r="E83" s="31"/>
      <c r="F83" s="31"/>
      <c r="G83" s="31"/>
      <c r="H83" s="31"/>
      <c r="L83" t="s">
        <v>29</v>
      </c>
      <c r="M83" s="30">
        <f t="shared" ref="M83" si="10">(3.33/$C$27)^2*$C$68*M80^2*SQRT(M79)*1.2</f>
        <v>19.836039660967703</v>
      </c>
      <c r="N83" s="31"/>
      <c r="O83" s="31"/>
      <c r="P83" s="31"/>
      <c r="Q83" s="31"/>
      <c r="R83" s="31"/>
      <c r="V83" t="s">
        <v>29</v>
      </c>
      <c r="W83" s="30">
        <f t="shared" ref="W83" si="11">(3.33/$C$27)^2*$C$68*W80^2*SQRT(W79)*1.2</f>
        <v>7.0995367910966101</v>
      </c>
      <c r="X83" s="31"/>
      <c r="Y83" s="31"/>
      <c r="Z83" s="31"/>
      <c r="AA83" s="31"/>
      <c r="AB83" s="31"/>
      <c r="AF83" t="s">
        <v>29</v>
      </c>
      <c r="AG83" s="30">
        <f t="shared" ref="AG83" si="12">(3.33/$C$27)^2*$C$68*AG80^2*SQRT(AG79)*1.2</f>
        <v>2.4795049576209629</v>
      </c>
      <c r="AH83" s="31"/>
      <c r="AI83" s="31"/>
      <c r="AJ83" s="31"/>
      <c r="AK83" s="31"/>
      <c r="AL83" s="31"/>
      <c r="AP83" t="s">
        <v>29</v>
      </c>
      <c r="AQ83" s="30">
        <f t="shared" ref="AQ83" si="13">(3.33/$C$27)^2*$C$68*AQ80^2*SQRT(AQ79)*1.2</f>
        <v>0.88744209888707626</v>
      </c>
      <c r="AR83" s="31"/>
      <c r="AS83" s="31"/>
      <c r="AT83" s="31"/>
      <c r="AU83" s="31"/>
      <c r="AV83" s="31"/>
      <c r="AZ83" t="s">
        <v>29</v>
      </c>
      <c r="BA83" s="30">
        <f t="shared" ref="BA83" si="14">(3.33/$C$27)^2*$C$68*BA80^2*SQRT(BA79)*1.2</f>
        <v>0.36882948487973755</v>
      </c>
      <c r="BB83" s="31" t="s">
        <v>30</v>
      </c>
      <c r="BC83" s="31"/>
      <c r="BD83" s="31"/>
      <c r="BE83" s="31"/>
      <c r="BF83" s="31" t="s">
        <v>6</v>
      </c>
    </row>
    <row r="84" spans="2:58">
      <c r="B84" t="s">
        <v>126</v>
      </c>
      <c r="C84">
        <f>C83*$D$66</f>
        <v>56.796294328772881</v>
      </c>
      <c r="E84" s="29"/>
      <c r="G84" s="29"/>
      <c r="H84" s="30"/>
      <c r="L84" t="s">
        <v>126</v>
      </c>
      <c r="M84">
        <f>M83*$D$66</f>
        <v>19.836039660967703</v>
      </c>
      <c r="O84" s="29"/>
      <c r="Q84" s="29"/>
      <c r="R84" s="30"/>
      <c r="V84" t="s">
        <v>126</v>
      </c>
      <c r="W84">
        <f>W83*$D$66</f>
        <v>7.0995367910966101</v>
      </c>
      <c r="Y84" s="29"/>
      <c r="AA84" s="29"/>
      <c r="AB84" s="30"/>
      <c r="AF84" t="s">
        <v>126</v>
      </c>
      <c r="AG84">
        <f>AG83*$D$66</f>
        <v>2.4795049576209629</v>
      </c>
      <c r="AI84" s="29"/>
      <c r="AK84" s="29"/>
      <c r="AL84" s="30"/>
      <c r="AP84" t="s">
        <v>126</v>
      </c>
      <c r="AQ84">
        <f>AQ83*$D$66</f>
        <v>0.88744209888707626</v>
      </c>
      <c r="AS84" s="29"/>
      <c r="AU84" s="29"/>
      <c r="AV84" s="30"/>
      <c r="AZ84" t="s">
        <v>126</v>
      </c>
      <c r="BA84">
        <f>BA83*$D$66</f>
        <v>0.36882948487973755</v>
      </c>
      <c r="BB84">
        <v>6</v>
      </c>
      <c r="BC84" s="29">
        <v>4.4299999999999999E-5</v>
      </c>
      <c r="BD84">
        <v>1.673</v>
      </c>
      <c r="BE84" s="29"/>
      <c r="BF84" s="30">
        <f>BC84*$C$11^BD84</f>
        <v>1.9690229047353007</v>
      </c>
    </row>
    <row r="85" spans="2:58">
      <c r="B85" t="s">
        <v>29</v>
      </c>
      <c r="C85" s="30">
        <f>C84</f>
        <v>56.796294328772881</v>
      </c>
      <c r="E85" s="29"/>
      <c r="F85" s="29"/>
      <c r="G85" s="29"/>
      <c r="H85" s="33"/>
      <c r="L85" t="s">
        <v>29</v>
      </c>
      <c r="M85" s="30">
        <f>M84</f>
        <v>19.836039660967703</v>
      </c>
      <c r="V85" t="s">
        <v>29</v>
      </c>
      <c r="W85" s="30">
        <f>W84</f>
        <v>7.0995367910966101</v>
      </c>
      <c r="Y85" s="29"/>
      <c r="Z85" s="29"/>
      <c r="AA85" s="29"/>
      <c r="AB85" s="33"/>
      <c r="AF85" t="s">
        <v>29</v>
      </c>
      <c r="AG85" s="30">
        <f>AG84</f>
        <v>2.4795049576209629</v>
      </c>
      <c r="AI85" s="29"/>
      <c r="AJ85" s="29"/>
      <c r="AK85" s="29"/>
      <c r="AL85" s="33"/>
      <c r="AP85" t="s">
        <v>29</v>
      </c>
      <c r="AQ85" s="30">
        <f>AQ84</f>
        <v>0.88744209888707626</v>
      </c>
      <c r="AS85" s="29"/>
      <c r="AT85" s="29"/>
      <c r="AU85" s="29"/>
      <c r="AV85" s="33"/>
      <c r="AZ85" t="s">
        <v>29</v>
      </c>
      <c r="BA85" s="30">
        <f>BA84</f>
        <v>0.36882948487973755</v>
      </c>
      <c r="BC85" s="29"/>
      <c r="BD85" s="29"/>
      <c r="BE85" s="29"/>
      <c r="BF85" s="33"/>
    </row>
    <row r="86" spans="2:58">
      <c r="B86" t="s">
        <v>175</v>
      </c>
      <c r="C86" s="30">
        <f>C84+$C$24</f>
        <v>60.796294328772881</v>
      </c>
      <c r="E86" s="29"/>
      <c r="F86" s="29"/>
      <c r="G86" s="29"/>
      <c r="H86" s="33"/>
      <c r="L86" t="s">
        <v>175</v>
      </c>
      <c r="M86" s="30">
        <f>M84+$C$24</f>
        <v>23.836039660967703</v>
      </c>
      <c r="V86" t="s">
        <v>175</v>
      </c>
      <c r="W86" s="30">
        <f>W84+$C$24</f>
        <v>11.099536791096611</v>
      </c>
      <c r="Y86" s="29"/>
      <c r="Z86" s="29"/>
      <c r="AA86" s="29"/>
      <c r="AB86" s="33"/>
      <c r="AF86" t="s">
        <v>175</v>
      </c>
      <c r="AG86" s="30">
        <f>AG84+$C$24</f>
        <v>6.4795049576209625</v>
      </c>
      <c r="AI86" s="29"/>
      <c r="AJ86" s="29"/>
      <c r="AK86" s="29"/>
      <c r="AL86" s="33"/>
      <c r="AP86" t="s">
        <v>175</v>
      </c>
      <c r="AQ86" s="30">
        <f>AQ84+$C$24</f>
        <v>4.8874420988870764</v>
      </c>
      <c r="AS86" s="29"/>
      <c r="AT86" s="29"/>
      <c r="AU86" s="29"/>
      <c r="AV86" s="33"/>
      <c r="AZ86" t="s">
        <v>175</v>
      </c>
      <c r="BA86" s="30">
        <f>BA84+$C$24</f>
        <v>4.368829484879738</v>
      </c>
      <c r="BC86" s="29"/>
      <c r="BD86" s="29"/>
      <c r="BE86" s="29"/>
      <c r="BF86" s="33"/>
    </row>
    <row r="87" spans="2:58">
      <c r="B87" t="s">
        <v>34</v>
      </c>
      <c r="C87" s="30">
        <f>$C$17+C86</f>
        <v>76.796294328772888</v>
      </c>
      <c r="L87" t="s">
        <v>34</v>
      </c>
      <c r="M87" s="30">
        <f>$C$17+M86</f>
        <v>39.8360396609677</v>
      </c>
      <c r="O87" s="29"/>
      <c r="P87" s="29"/>
      <c r="Q87" s="29"/>
      <c r="V87" t="s">
        <v>34</v>
      </c>
      <c r="W87" s="30">
        <f>$C$17+W86</f>
        <v>27.099536791096611</v>
      </c>
      <c r="AF87" t="s">
        <v>34</v>
      </c>
      <c r="AG87" s="30">
        <f>$C$17+AG86</f>
        <v>22.479504957620961</v>
      </c>
      <c r="AP87" t="s">
        <v>34</v>
      </c>
      <c r="AQ87" s="30">
        <f>$C$17+AQ86</f>
        <v>20.887442098887078</v>
      </c>
      <c r="AZ87" t="s">
        <v>34</v>
      </c>
      <c r="BA87" s="30">
        <f>$C$17+BA86</f>
        <v>20.36882948487974</v>
      </c>
    </row>
    <row r="88" spans="2:58">
      <c r="B88" t="s">
        <v>335</v>
      </c>
      <c r="C88" s="30" t="str">
        <f>IF(AND(C87&gt;20,C87&lt;22.5),22,IF(AND(C87&gt;=24.5,C87&lt;27.5),26,IF(AND(C87&gt;29.5,C87&lt;32.5),30,IF(AND(C87&gt;=19.5,C87&lt;32.5),C87,"n.r."))))</f>
        <v>n.r.</v>
      </c>
      <c r="L88" t="s">
        <v>335</v>
      </c>
      <c r="M88" s="30" t="str">
        <f t="shared" ref="M88" si="15">IF(AND(M87&gt;20,M87&lt;22.5),22,IF(AND(M87&gt;=24.5,M87&lt;27.5),26,IF(AND(M87&gt;29.5,M87&lt;32.5),30,IF(AND(M87&gt;=19.5,M87&lt;32.5),M87,"n.r."))))</f>
        <v>n.r.</v>
      </c>
      <c r="V88" t="s">
        <v>335</v>
      </c>
      <c r="W88" s="30">
        <f t="shared" ref="W88" si="16">IF(AND(W87&gt;20,W87&lt;22.5),22,IF(AND(W87&gt;=24.5,W87&lt;27.5),26,IF(AND(W87&gt;29.5,W87&lt;32.5),30,IF(AND(W87&gt;=19.5,W87&lt;32.5),W87,"n.r."))))</f>
        <v>26</v>
      </c>
      <c r="AF88" t="s">
        <v>335</v>
      </c>
      <c r="AG88" s="30">
        <f t="shared" ref="AG88" si="17">IF(AND(AG87&gt;20,AG87&lt;22.5),22,IF(AND(AG87&gt;=24.5,AG87&lt;27.5),26,IF(AND(AG87&gt;29.5,AG87&lt;32.5),30,IF(AND(AG87&gt;=19.5,AG87&lt;32.5),AG87,"n.r."))))</f>
        <v>22</v>
      </c>
      <c r="AP88" t="s">
        <v>335</v>
      </c>
      <c r="AQ88" s="30">
        <f t="shared" ref="AQ88" si="18">IF(AND(AQ87&gt;20,AQ87&lt;22.5),22,IF(AND(AQ87&gt;=24.5,AQ87&lt;27.5),26,IF(AND(AQ87&gt;29.5,AQ87&lt;32.5),30,IF(AND(AQ87&gt;=19.5,AQ87&lt;32.5),AQ87,"n.r."))))</f>
        <v>22</v>
      </c>
      <c r="AZ88" t="s">
        <v>335</v>
      </c>
      <c r="BA88" s="30">
        <f t="shared" ref="BA88" si="19">IF(AND(BA87&gt;20,BA87&lt;22.5),22,IF(AND(BA87&gt;=24.5,BA87&lt;27.5),26,IF(AND(BA87&gt;29.5,BA87&lt;32.5),30,IF(AND(BA87&gt;=19.5,BA87&lt;32.5),BA87,"n.r."))))</f>
        <v>22</v>
      </c>
    </row>
    <row r="89" spans="2:58">
      <c r="O89" s="29"/>
      <c r="P89" s="29"/>
      <c r="Q89" s="29"/>
    </row>
    <row r="90" spans="2:58">
      <c r="B90" s="31" t="s">
        <v>324</v>
      </c>
      <c r="L90" s="31" t="s">
        <v>324</v>
      </c>
      <c r="V90" s="31" t="s">
        <v>324</v>
      </c>
      <c r="AF90" s="31" t="s">
        <v>324</v>
      </c>
      <c r="AP90" s="31" t="s">
        <v>324</v>
      </c>
      <c r="AZ90" s="31" t="s">
        <v>324</v>
      </c>
    </row>
    <row r="91" spans="2:58">
      <c r="B91" t="s">
        <v>246</v>
      </c>
      <c r="C91">
        <v>2.5</v>
      </c>
      <c r="L91" t="s">
        <v>246</v>
      </c>
      <c r="M91">
        <v>3</v>
      </c>
      <c r="V91" t="s">
        <v>246</v>
      </c>
      <c r="W91">
        <v>4</v>
      </c>
      <c r="AF91" t="s">
        <v>246</v>
      </c>
      <c r="AG91">
        <v>5</v>
      </c>
      <c r="AP91" t="s">
        <v>246</v>
      </c>
      <c r="AQ91">
        <v>6</v>
      </c>
      <c r="AZ91" t="s">
        <v>246</v>
      </c>
      <c r="BA91">
        <v>6.5</v>
      </c>
    </row>
    <row r="92" spans="2:58">
      <c r="B92" t="s">
        <v>259</v>
      </c>
      <c r="C92">
        <f>C91*$F$31</f>
        <v>2.75</v>
      </c>
      <c r="L92" t="s">
        <v>259</v>
      </c>
      <c r="M92">
        <f>M91*$F$31</f>
        <v>3.3000000000000003</v>
      </c>
      <c r="V92" t="s">
        <v>259</v>
      </c>
      <c r="W92">
        <f>W91*$F$31</f>
        <v>4.4000000000000004</v>
      </c>
      <c r="AF92" t="s">
        <v>259</v>
      </c>
      <c r="AG92">
        <f>AG91*$F$31</f>
        <v>5.5</v>
      </c>
      <c r="AP92" t="s">
        <v>259</v>
      </c>
      <c r="AQ92">
        <f>AQ91*$F$31</f>
        <v>6.6000000000000005</v>
      </c>
      <c r="AZ92" t="s">
        <v>259</v>
      </c>
      <c r="BA92">
        <f>BA91*$F$31</f>
        <v>7.15</v>
      </c>
    </row>
    <row r="94" spans="2:58">
      <c r="B94" s="31" t="s">
        <v>322</v>
      </c>
      <c r="L94" s="31" t="s">
        <v>322</v>
      </c>
      <c r="V94" s="31" t="s">
        <v>322</v>
      </c>
      <c r="AF94" s="31" t="s">
        <v>322</v>
      </c>
      <c r="AP94" s="31" t="s">
        <v>322</v>
      </c>
      <c r="AZ94" s="31" t="s">
        <v>322</v>
      </c>
    </row>
    <row r="95" spans="2:58">
      <c r="B95" t="s">
        <v>282</v>
      </c>
      <c r="C95">
        <f>F71</f>
        <v>182</v>
      </c>
      <c r="L95" t="s">
        <v>282</v>
      </c>
      <c r="M95">
        <f>P71</f>
        <v>412</v>
      </c>
      <c r="V95" t="s">
        <v>282</v>
      </c>
      <c r="W95">
        <f>Z72</f>
        <v>660</v>
      </c>
      <c r="AF95" t="s">
        <v>282</v>
      </c>
      <c r="AG95">
        <f>AJ71</f>
        <v>1435.6768</v>
      </c>
      <c r="AP95" t="s">
        <v>282</v>
      </c>
      <c r="AQ95">
        <f>AT71</f>
        <v>2847.9999999999995</v>
      </c>
      <c r="AZ95" t="s">
        <v>282</v>
      </c>
      <c r="BA95">
        <f>BD71</f>
        <v>5113.8688000000002</v>
      </c>
    </row>
    <row r="96" spans="2:58">
      <c r="B96" t="s">
        <v>105</v>
      </c>
      <c r="C96">
        <f>C95*0.3</f>
        <v>54.6</v>
      </c>
      <c r="L96" t="s">
        <v>105</v>
      </c>
      <c r="M96">
        <f>M95*0.3</f>
        <v>123.6</v>
      </c>
      <c r="V96" t="s">
        <v>105</v>
      </c>
      <c r="W96">
        <f>W95*0.3</f>
        <v>198</v>
      </c>
      <c r="AF96" t="s">
        <v>105</v>
      </c>
      <c r="AG96">
        <f>AG95*0.3</f>
        <v>430.70303999999999</v>
      </c>
      <c r="AP96" t="s">
        <v>105</v>
      </c>
      <c r="AQ96">
        <f>AQ95*0.3</f>
        <v>854.39999999999986</v>
      </c>
      <c r="AZ96" t="s">
        <v>105</v>
      </c>
      <c r="BA96">
        <f>BA95*0.3</f>
        <v>1534.1606400000001</v>
      </c>
    </row>
    <row r="98" spans="2:55">
      <c r="B98" s="31" t="s">
        <v>48</v>
      </c>
      <c r="L98" s="31" t="s">
        <v>48</v>
      </c>
      <c r="V98" s="31" t="s">
        <v>48</v>
      </c>
      <c r="AF98" s="31" t="s">
        <v>48</v>
      </c>
      <c r="AP98" s="31" t="s">
        <v>48</v>
      </c>
      <c r="AZ98" s="31" t="s">
        <v>48</v>
      </c>
    </row>
    <row r="99" spans="2:55">
      <c r="B99" t="s">
        <v>283</v>
      </c>
      <c r="C99">
        <f>TREND($C$48:$C$49,C95:C96,$C$11,1)</f>
        <v>0.44661834867262584</v>
      </c>
      <c r="L99" t="s">
        <v>283</v>
      </c>
      <c r="M99">
        <f>TREND($C$48:$C$49,M95:M96,$C$11,1)</f>
        <v>10.963147589196327</v>
      </c>
      <c r="V99" t="s">
        <v>283</v>
      </c>
      <c r="W99">
        <f>TREND($C$48:$C$49,W95:W96,$C$11,1)</f>
        <v>14.090117706457706</v>
      </c>
      <c r="AF99" t="s">
        <v>283</v>
      </c>
      <c r="AG99">
        <f>TREND($C$48:$C$49,AG95:AG96,$C$11,1)</f>
        <v>16.896800847210464</v>
      </c>
      <c r="AP99" t="s">
        <v>283</v>
      </c>
      <c r="AQ99">
        <f>TREND($C$48:$C$49,AQ95:AQ96,$C$11,1)</f>
        <v>18.081070573815069</v>
      </c>
      <c r="AZ99" t="s">
        <v>283</v>
      </c>
      <c r="BA99">
        <f>TREND($C$48:$C$49,BA95:BA96,$C$11,1)</f>
        <v>18.614477185375268</v>
      </c>
    </row>
    <row r="100" spans="2:55">
      <c r="B100" t="s">
        <v>48</v>
      </c>
      <c r="C100">
        <f>SQRT($C$11/C99)</f>
        <v>36.652815812599762</v>
      </c>
      <c r="L100" t="s">
        <v>48</v>
      </c>
      <c r="M100">
        <f>SQRT($C$11/M99)</f>
        <v>7.3978921353987612</v>
      </c>
      <c r="V100" t="s">
        <v>48</v>
      </c>
      <c r="W100">
        <f>SQRT($C$11/W99)</f>
        <v>6.5255679248999536</v>
      </c>
      <c r="AF100" t="s">
        <v>48</v>
      </c>
      <c r="AG100">
        <f>SQRT($C$11/AG99)</f>
        <v>5.9589999602486374</v>
      </c>
      <c r="AP100" t="s">
        <v>48</v>
      </c>
      <c r="AQ100">
        <f>SQRT($C$11/AQ99)</f>
        <v>5.760544747333741</v>
      </c>
      <c r="AZ100" t="s">
        <v>48</v>
      </c>
      <c r="BA100">
        <f>SQRT($C$11/BA99)</f>
        <v>5.6774092854995697</v>
      </c>
    </row>
    <row r="101" spans="2:55">
      <c r="B101" t="s">
        <v>284</v>
      </c>
      <c r="C101" s="31">
        <f>IFERROR(C100*$C$37,"")</f>
        <v>31.154893440709795</v>
      </c>
      <c r="D101" t="s">
        <v>285</v>
      </c>
      <c r="L101" t="s">
        <v>284</v>
      </c>
      <c r="M101" s="31">
        <f>IFERROR(M100*$C$37,"")</f>
        <v>6.288208315088947</v>
      </c>
      <c r="N101" t="s">
        <v>285</v>
      </c>
      <c r="V101" t="s">
        <v>284</v>
      </c>
      <c r="W101" s="31">
        <f>IFERROR(W100*$C$37,"")</f>
        <v>5.5467327361649605</v>
      </c>
      <c r="X101" t="s">
        <v>285</v>
      </c>
      <c r="AF101" t="s">
        <v>284</v>
      </c>
      <c r="AG101" s="31">
        <f>IFERROR(AG100*$C$37,"")</f>
        <v>5.0651499662113419</v>
      </c>
      <c r="AH101" t="s">
        <v>285</v>
      </c>
      <c r="AP101" t="s">
        <v>284</v>
      </c>
      <c r="AQ101" s="31">
        <f>IFERROR(AQ100*$C$37,"")</f>
        <v>4.8964630352336798</v>
      </c>
      <c r="AR101" t="s">
        <v>285</v>
      </c>
      <c r="AZ101" t="s">
        <v>284</v>
      </c>
      <c r="BA101" s="31">
        <f>IFERROR(BA100*$C$37,"")</f>
        <v>4.8257978926746343</v>
      </c>
      <c r="BB101" t="s">
        <v>285</v>
      </c>
    </row>
    <row r="102" spans="2:55">
      <c r="C102" s="31"/>
      <c r="M102" s="31"/>
      <c r="W102" s="31"/>
      <c r="AG102" s="31"/>
      <c r="AQ102" s="31"/>
      <c r="BA102" s="31"/>
    </row>
    <row r="103" spans="2:55">
      <c r="B103" s="31" t="s">
        <v>47</v>
      </c>
      <c r="C103" s="31"/>
      <c r="L103" s="31" t="s">
        <v>47</v>
      </c>
      <c r="M103" s="31"/>
      <c r="V103" s="31" t="s">
        <v>47</v>
      </c>
      <c r="W103" s="31"/>
      <c r="AF103" s="31" t="s">
        <v>47</v>
      </c>
      <c r="AG103" s="31"/>
      <c r="AP103" s="31" t="s">
        <v>47</v>
      </c>
      <c r="AQ103" s="31"/>
      <c r="AZ103" s="31" t="s">
        <v>47</v>
      </c>
      <c r="BA103" s="31"/>
    </row>
    <row r="104" spans="2:55">
      <c r="B104" t="s">
        <v>298</v>
      </c>
      <c r="C104" s="31">
        <f>TREND($C$58:$C$59,C95:C96,$C$13,1)</f>
        <v>-7.0251177394034414E-2</v>
      </c>
      <c r="E104" s="31"/>
      <c r="L104" t="s">
        <v>298</v>
      </c>
      <c r="M104" s="31">
        <f>TREND($C$58:$C$59,M95:M96,$C$13,1)</f>
        <v>0.58703190013869644</v>
      </c>
      <c r="O104" s="31"/>
      <c r="V104" t="s">
        <v>298</v>
      </c>
      <c r="W104" s="31">
        <f>TREND($C$58:$C$59,W95:W96,$C$13,1)</f>
        <v>0.78246753246753253</v>
      </c>
      <c r="Y104" s="31"/>
      <c r="AF104" t="s">
        <v>298</v>
      </c>
      <c r="AG104" s="31">
        <f>TREND($C$58:$C$59,AG95:AG96,$C$13,1)</f>
        <v>0.95788522876457993</v>
      </c>
      <c r="AI104" s="31"/>
      <c r="AP104" t="s">
        <v>298</v>
      </c>
      <c r="AQ104" s="31">
        <f>TREND($C$58:$C$59,AQ95:AQ96,$C$13,1)</f>
        <v>1.0319020866773676</v>
      </c>
      <c r="AS104" s="31"/>
      <c r="AZ104" t="s">
        <v>298</v>
      </c>
      <c r="BA104" s="31">
        <f>TREND($C$58:$C$59,BA95:BA96,$C$13,1)</f>
        <v>1.0652399998998803</v>
      </c>
      <c r="BC104" s="31"/>
    </row>
    <row r="105" spans="2:55">
      <c r="B105" t="s">
        <v>299</v>
      </c>
      <c r="C105" s="31">
        <f>TREND($F$58:$F$59,C95:C96,$C$13,1)</f>
        <v>9.2810047095761377</v>
      </c>
      <c r="E105" s="31"/>
      <c r="L105" t="s">
        <v>299</v>
      </c>
      <c r="M105" s="31">
        <f>TREND($F$58:$F$59,M95:M96,$C$13,1)</f>
        <v>6.6518723994452138</v>
      </c>
      <c r="O105" s="31"/>
      <c r="V105" t="s">
        <v>299</v>
      </c>
      <c r="W105" s="31">
        <f>TREND($F$58:$F$59,W95:W96,$C$13,1)</f>
        <v>5.8701298701298699</v>
      </c>
      <c r="Y105" s="31"/>
      <c r="AF105" t="s">
        <v>299</v>
      </c>
      <c r="AG105" s="31">
        <f>TREND($F$58:$F$59,AG95:AG96,$C$13,1)</f>
        <v>5.1684590849416798</v>
      </c>
      <c r="AI105" s="31"/>
      <c r="AP105" t="s">
        <v>299</v>
      </c>
      <c r="AQ105" s="31">
        <f>TREND($F$58:$F$59,AQ95:AQ96,$C$13,1)</f>
        <v>4.8723916532905296</v>
      </c>
      <c r="AS105" s="31"/>
      <c r="AZ105" t="s">
        <v>299</v>
      </c>
      <c r="BA105" s="31">
        <f>TREND($F$58:$F$59,BA95:BA96,$C$13,1)</f>
        <v>4.7390400004004789</v>
      </c>
      <c r="BC105" s="31"/>
    </row>
    <row r="107" spans="2:55">
      <c r="B107" t="s">
        <v>302</v>
      </c>
      <c r="C107" t="e">
        <f>SQRT($C$13/C104)*SQRT(2.7/$C$15)</f>
        <v>#NUM!</v>
      </c>
      <c r="L107" t="s">
        <v>302</v>
      </c>
      <c r="M107">
        <f>SQRT($C$13/M104)*SQRT(2.7/$C$15)</f>
        <v>21.446233544717767</v>
      </c>
      <c r="V107" t="s">
        <v>302</v>
      </c>
      <c r="W107">
        <f>SQRT($C$13/W104)*SQRT(2.7/$C$15)</f>
        <v>18.575851007797741</v>
      </c>
      <c r="AF107" t="s">
        <v>302</v>
      </c>
      <c r="AG107">
        <f>SQRT($C$13/AG104)*SQRT(2.7/$C$15)</f>
        <v>16.789012172346773</v>
      </c>
      <c r="AP107" t="s">
        <v>302</v>
      </c>
      <c r="AQ107">
        <f>SQRT($C$13/AQ104)*SQRT(2.7/$C$15)</f>
        <v>16.175683350899252</v>
      </c>
      <c r="AZ107" t="s">
        <v>302</v>
      </c>
      <c r="BA107">
        <f>SQRT($C$13/BA104)*SQRT(2.7/$C$15)</f>
        <v>15.920553009700098</v>
      </c>
    </row>
    <row r="108" spans="2:55">
      <c r="B108" t="s">
        <v>303</v>
      </c>
      <c r="C108">
        <f>C105*$C$15</f>
        <v>55.686028257456826</v>
      </c>
      <c r="L108" t="s">
        <v>303</v>
      </c>
      <c r="M108">
        <f>M105*$C$15</f>
        <v>39.911234396671283</v>
      </c>
      <c r="V108" t="s">
        <v>303</v>
      </c>
      <c r="W108">
        <f>W105*$C$15</f>
        <v>35.220779220779221</v>
      </c>
      <c r="AF108" t="s">
        <v>303</v>
      </c>
      <c r="AG108">
        <f>AG105*$C$15</f>
        <v>31.010754509650077</v>
      </c>
      <c r="AP108" t="s">
        <v>303</v>
      </c>
      <c r="AQ108">
        <f>AQ105*$C$15</f>
        <v>29.234349919743178</v>
      </c>
      <c r="AZ108" t="s">
        <v>303</v>
      </c>
      <c r="BA108">
        <f>BA105*$C$15</f>
        <v>28.434240002402873</v>
      </c>
    </row>
    <row r="109" spans="2:55">
      <c r="B109" t="s">
        <v>47</v>
      </c>
      <c r="C109" s="31">
        <f>IFERROR(MIN(C107,C108),C108)*$C$38*SQRT(12/$C$16)</f>
        <v>44.548822605965462</v>
      </c>
      <c r="L109" t="s">
        <v>47</v>
      </c>
      <c r="M109" s="31">
        <f>IFERROR(MIN(M107,M108),M108)*$C$38*SQRT(12/$C$16)</f>
        <v>17.156986835774216</v>
      </c>
      <c r="V109" t="s">
        <v>47</v>
      </c>
      <c r="W109" s="31">
        <f>IFERROR(MIN(W107,W108),W108)*$C$38*SQRT(12/$C$16)</f>
        <v>14.860680806238193</v>
      </c>
      <c r="AF109" t="s">
        <v>47</v>
      </c>
      <c r="AG109" s="31">
        <f>IFERROR(MIN(AG107,AG108),AG108)*$C$38*SQRT(12/$C$16)</f>
        <v>13.431209737877419</v>
      </c>
      <c r="AP109" t="s">
        <v>47</v>
      </c>
      <c r="AQ109" s="31">
        <f>IFERROR(MIN(AQ107,AQ108),AQ108)*$C$38*SQRT(12/$C$16)</f>
        <v>12.940546680719402</v>
      </c>
      <c r="AZ109" t="s">
        <v>47</v>
      </c>
      <c r="BA109" s="31">
        <f>IFERROR(MIN(BA107,BA108),BA108)*$C$38*SQRT(12/$C$16)</f>
        <v>12.73644240776008</v>
      </c>
    </row>
    <row r="110" spans="2:55">
      <c r="C110" s="31"/>
      <c r="M110" s="31"/>
      <c r="W110" s="31"/>
      <c r="AG110" s="31"/>
      <c r="AQ110" s="31"/>
      <c r="BA110" s="31"/>
    </row>
    <row r="111" spans="2:55">
      <c r="B111" s="31" t="s">
        <v>329</v>
      </c>
      <c r="L111" s="31" t="s">
        <v>329</v>
      </c>
      <c r="V111" s="31" t="s">
        <v>329</v>
      </c>
      <c r="AF111" s="31" t="s">
        <v>329</v>
      </c>
      <c r="AP111" s="31" t="s">
        <v>329</v>
      </c>
      <c r="AZ111" s="31" t="s">
        <v>329</v>
      </c>
    </row>
    <row r="112" spans="2:55">
      <c r="B112" s="281"/>
      <c r="C112" s="281"/>
      <c r="D112" s="281"/>
      <c r="L112" s="281"/>
      <c r="M112" s="281"/>
      <c r="N112" s="281"/>
      <c r="V112" s="281"/>
      <c r="W112" s="281"/>
      <c r="X112" s="281"/>
      <c r="AF112" s="281"/>
      <c r="AG112" s="281"/>
      <c r="AH112" s="281"/>
      <c r="AP112" s="281"/>
      <c r="AQ112" s="281"/>
      <c r="AR112" s="281"/>
      <c r="AZ112" s="281"/>
      <c r="BA112" s="281"/>
      <c r="BB112" s="281"/>
    </row>
    <row r="113" spans="2:57">
      <c r="B113" s="286" t="s">
        <v>310</v>
      </c>
      <c r="C113" s="309">
        <f>$C$209</f>
        <v>10.05929664298667</v>
      </c>
      <c r="D113" s="286"/>
      <c r="L113" s="286" t="s">
        <v>310</v>
      </c>
      <c r="M113" s="309">
        <f>$C$209</f>
        <v>10.05929664298667</v>
      </c>
      <c r="N113" s="286"/>
      <c r="V113" s="286" t="s">
        <v>310</v>
      </c>
      <c r="W113" s="309">
        <f>$C$209</f>
        <v>10.05929664298667</v>
      </c>
      <c r="X113" s="286"/>
      <c r="AF113" s="286" t="s">
        <v>310</v>
      </c>
      <c r="AG113" s="309">
        <f>$C$209</f>
        <v>10.05929664298667</v>
      </c>
      <c r="AH113" s="286"/>
      <c r="AP113" s="286" t="s">
        <v>310</v>
      </c>
      <c r="AQ113" s="309">
        <f>$C$209</f>
        <v>10.05929664298667</v>
      </c>
      <c r="AR113" s="286"/>
      <c r="AZ113" s="286" t="s">
        <v>310</v>
      </c>
      <c r="BA113" s="309">
        <f>$C$209</f>
        <v>10.05929664298667</v>
      </c>
      <c r="BB113" s="286"/>
    </row>
    <row r="114" spans="2:57">
      <c r="B114" s="286" t="s">
        <v>311</v>
      </c>
      <c r="C114" s="286">
        <f>SQRT($C$11/$C$63)</f>
        <v>7.745966692414834</v>
      </c>
      <c r="D114" s="286"/>
      <c r="L114" s="286" t="s">
        <v>311</v>
      </c>
      <c r="M114" s="286">
        <f>SQRT($C$11/$C$63)</f>
        <v>7.745966692414834</v>
      </c>
      <c r="N114" s="286"/>
      <c r="V114" s="286" t="s">
        <v>311</v>
      </c>
      <c r="W114" s="286">
        <f>SQRT($C$11/$C$63)</f>
        <v>7.745966692414834</v>
      </c>
      <c r="X114" s="286"/>
      <c r="AF114" s="286" t="s">
        <v>311</v>
      </c>
      <c r="AG114" s="286">
        <f>SQRT($C$11/$C$63)</f>
        <v>7.745966692414834</v>
      </c>
      <c r="AH114" s="286"/>
      <c r="AP114" s="286" t="s">
        <v>311</v>
      </c>
      <c r="AQ114" s="286">
        <f>SQRT($C$11/$C$63)</f>
        <v>7.745966692414834</v>
      </c>
      <c r="AR114" s="286"/>
      <c r="AZ114" s="286" t="s">
        <v>311</v>
      </c>
      <c r="BA114" s="286">
        <f>SQRT($C$11/$C$63)</f>
        <v>7.745966692414834</v>
      </c>
      <c r="BB114" s="286"/>
    </row>
    <row r="115" spans="2:57">
      <c r="B115" s="286" t="s">
        <v>312</v>
      </c>
      <c r="C115" s="286">
        <f>IF($C$61=1,C113,IF($C$61=2,$C$62,C114))</f>
        <v>10.05929664298667</v>
      </c>
      <c r="D115" s="286"/>
      <c r="L115" s="286" t="s">
        <v>312</v>
      </c>
      <c r="M115" s="286">
        <f>IF($C$61=1,M113,IF($C$61=2,$C$62,M114))</f>
        <v>10.05929664298667</v>
      </c>
      <c r="N115" s="286"/>
      <c r="V115" s="286" t="s">
        <v>312</v>
      </c>
      <c r="W115" s="286">
        <f>IF($C$61=1,W113,IF($C$61=2,$C$62,W114))</f>
        <v>10.05929664298667</v>
      </c>
      <c r="X115" s="286"/>
      <c r="AF115" s="286" t="s">
        <v>312</v>
      </c>
      <c r="AG115" s="286">
        <f>IF($C$61=1,AG113,IF($C$61=2,$C$62,AG114))</f>
        <v>10.05929664298667</v>
      </c>
      <c r="AH115" s="286"/>
      <c r="AP115" s="286" t="s">
        <v>312</v>
      </c>
      <c r="AQ115" s="286">
        <f>IF($C$61=1,AQ113,IF($C$61=2,$C$62,AQ114))</f>
        <v>10.05929664298667</v>
      </c>
      <c r="AR115" s="286"/>
      <c r="AZ115" s="286" t="s">
        <v>312</v>
      </c>
      <c r="BA115" s="286">
        <f>IF($C$61=1,BA113,IF($C$61=2,$C$62,BA114))</f>
        <v>10.05929664298667</v>
      </c>
      <c r="BB115" s="286"/>
    </row>
    <row r="116" spans="2:57">
      <c r="B116" s="286" t="s">
        <v>104</v>
      </c>
      <c r="C116" s="286">
        <f>C115^2</f>
        <v>101.18944895160288</v>
      </c>
      <c r="D116" s="286"/>
      <c r="L116" s="286" t="s">
        <v>104</v>
      </c>
      <c r="M116" s="286">
        <f>M115^2</f>
        <v>101.18944895160288</v>
      </c>
      <c r="N116" s="286"/>
      <c r="V116" s="286" t="s">
        <v>104</v>
      </c>
      <c r="W116" s="286">
        <f>W115^2</f>
        <v>101.18944895160288</v>
      </c>
      <c r="X116" s="286"/>
      <c r="AF116" s="286" t="s">
        <v>104</v>
      </c>
      <c r="AG116" s="286">
        <f>AG115^2</f>
        <v>101.18944895160288</v>
      </c>
      <c r="AH116" s="286"/>
      <c r="AP116" s="286" t="s">
        <v>104</v>
      </c>
      <c r="AQ116" s="286">
        <f>AQ115^2</f>
        <v>101.18944895160288</v>
      </c>
      <c r="AR116" s="286"/>
      <c r="AZ116" s="286" t="s">
        <v>104</v>
      </c>
      <c r="BA116" s="286">
        <f>BA115^2</f>
        <v>101.18944895160288</v>
      </c>
      <c r="BB116" s="286"/>
    </row>
    <row r="117" spans="2:57">
      <c r="B117" s="286" t="s">
        <v>313</v>
      </c>
      <c r="C117" s="286">
        <f>IF($C$61=3,$C$63,$C$11/C116)</f>
        <v>5.9294719579604527</v>
      </c>
      <c r="D117" s="286"/>
      <c r="L117" s="286" t="s">
        <v>313</v>
      </c>
      <c r="M117" s="286">
        <f>IF($C$61=3,$C$63,$C$11/M116)</f>
        <v>5.9294719579604527</v>
      </c>
      <c r="N117" s="286"/>
      <c r="V117" s="286" t="s">
        <v>313</v>
      </c>
      <c r="W117" s="286">
        <f>IF($C$61=3,$C$63,$C$11/W116)</f>
        <v>5.9294719579604527</v>
      </c>
      <c r="X117" s="286"/>
      <c r="AF117" s="286" t="s">
        <v>313</v>
      </c>
      <c r="AG117" s="286">
        <f>IF($C$61=3,$C$63,$C$11/AG116)</f>
        <v>5.9294719579604527</v>
      </c>
      <c r="AH117" s="286"/>
      <c r="AP117" s="286" t="s">
        <v>313</v>
      </c>
      <c r="AQ117" s="286">
        <f>IF($C$61=3,$C$63,$C$11/AQ116)</f>
        <v>5.9294719579604527</v>
      </c>
      <c r="AR117" s="286"/>
      <c r="AZ117" s="286" t="s">
        <v>313</v>
      </c>
      <c r="BA117" s="286">
        <f>IF($C$61=3,$C$63,$C$11/BA116)</f>
        <v>5.9294719579604527</v>
      </c>
      <c r="BB117" s="286"/>
    </row>
    <row r="118" spans="2:57">
      <c r="B118" s="286" t="s">
        <v>314</v>
      </c>
      <c r="C118" s="286">
        <f>C117*$C$16</f>
        <v>71.153663495525436</v>
      </c>
      <c r="D118" s="286" t="s">
        <v>64</v>
      </c>
      <c r="E118" t="s">
        <v>89</v>
      </c>
      <c r="L118" s="286" t="s">
        <v>314</v>
      </c>
      <c r="M118" s="286">
        <f>M117*$C$16</f>
        <v>71.153663495525436</v>
      </c>
      <c r="N118" s="286" t="s">
        <v>64</v>
      </c>
      <c r="O118" t="s">
        <v>89</v>
      </c>
      <c r="V118" s="286" t="s">
        <v>314</v>
      </c>
      <c r="W118" s="286">
        <f>W117*$C$16</f>
        <v>71.153663495525436</v>
      </c>
      <c r="X118" s="286" t="s">
        <v>64</v>
      </c>
      <c r="Y118" t="s">
        <v>89</v>
      </c>
      <c r="AF118" s="286" t="s">
        <v>314</v>
      </c>
      <c r="AG118" s="286">
        <f>AG117*$C$16</f>
        <v>71.153663495525436</v>
      </c>
      <c r="AH118" s="286" t="s">
        <v>64</v>
      </c>
      <c r="AI118" t="s">
        <v>89</v>
      </c>
      <c r="AP118" s="286" t="s">
        <v>314</v>
      </c>
      <c r="AQ118" s="286">
        <f>AQ117*$C$16</f>
        <v>71.153663495525436</v>
      </c>
      <c r="AR118" s="286" t="s">
        <v>64</v>
      </c>
      <c r="AS118" t="s">
        <v>89</v>
      </c>
      <c r="AZ118" s="286" t="s">
        <v>314</v>
      </c>
      <c r="BA118" s="286">
        <f>BA117*$C$16</f>
        <v>71.153663495525436</v>
      </c>
      <c r="BB118" s="286" t="s">
        <v>64</v>
      </c>
      <c r="BC118" t="s">
        <v>89</v>
      </c>
    </row>
    <row r="119" spans="2:57">
      <c r="B119" s="286" t="s">
        <v>331</v>
      </c>
      <c r="C119" s="286">
        <f>(C95-$C$11)/(C95-C96)*(C117/$C$50)</f>
        <v>-4.8636563548419725</v>
      </c>
      <c r="D119" s="286"/>
      <c r="L119" s="286" t="s">
        <v>331</v>
      </c>
      <c r="M119" s="286">
        <f t="shared" ref="M119" si="20">(M95-$C$11)/(M95-M96)*(M117/$C$50)</f>
        <v>-0.96631477816969935</v>
      </c>
      <c r="N119" s="286"/>
      <c r="V119" s="286" t="s">
        <v>331</v>
      </c>
      <c r="W119" s="286">
        <f t="shared" ref="W119" si="21">(W95-$C$11)/(W95-W96)*(W117/$C$50)</f>
        <v>0.1925153233104043</v>
      </c>
      <c r="X119" s="286"/>
      <c r="AF119" s="286" t="s">
        <v>331</v>
      </c>
      <c r="AG119" s="286">
        <f t="shared" ref="AG119" si="22">(AG95-$C$11)/(AG95-AG96)*(AG117/$C$50)</f>
        <v>1.2326496344337701</v>
      </c>
      <c r="AH119" s="286"/>
      <c r="AP119" s="286" t="s">
        <v>331</v>
      </c>
      <c r="AQ119" s="286">
        <f t="shared" ref="AQ119" si="23">(AQ95-$C$11)/(AQ95-AQ96)*(AQ117/$C$50)</f>
        <v>1.6715305178439879</v>
      </c>
      <c r="AR119" s="286"/>
      <c r="AZ119" s="286" t="s">
        <v>331</v>
      </c>
      <c r="BA119" s="286">
        <f t="shared" ref="BA119" si="24">(BA95-$C$11)/(BA95-BA96)*(BA117/$C$50)</f>
        <v>1.869206739433795</v>
      </c>
      <c r="BB119" s="286"/>
    </row>
    <row r="120" spans="2:57">
      <c r="B120" s="286" t="s">
        <v>333</v>
      </c>
      <c r="C120" s="286">
        <f>C117-C119</f>
        <v>10.793128312802425</v>
      </c>
      <c r="D120" s="286"/>
      <c r="L120" s="286" t="s">
        <v>333</v>
      </c>
      <c r="M120" s="286">
        <f t="shared" ref="M120" si="25">M117-M119</f>
        <v>6.8957867361301517</v>
      </c>
      <c r="N120" s="286"/>
      <c r="V120" s="286" t="s">
        <v>333</v>
      </c>
      <c r="W120" s="286">
        <f t="shared" ref="W120" si="26">W117-W119</f>
        <v>5.7369566346500482</v>
      </c>
      <c r="X120" s="286"/>
      <c r="AF120" s="286" t="s">
        <v>333</v>
      </c>
      <c r="AG120" s="286">
        <f t="shared" ref="AG120" si="27">AG117-AG119</f>
        <v>4.6968223235266828</v>
      </c>
      <c r="AH120" s="286"/>
      <c r="AP120" s="286" t="s">
        <v>333</v>
      </c>
      <c r="AQ120" s="286">
        <f t="shared" ref="AQ120" si="28">AQ117-AQ119</f>
        <v>4.2579414401164648</v>
      </c>
      <c r="AR120" s="286"/>
      <c r="AZ120" s="286" t="s">
        <v>333</v>
      </c>
      <c r="BA120" s="286">
        <f t="shared" ref="BA120" si="29">BA117-BA119</f>
        <v>4.0602652185266574</v>
      </c>
      <c r="BB120" s="286"/>
    </row>
    <row r="121" spans="2:57">
      <c r="B121" s="286" t="s">
        <v>330</v>
      </c>
      <c r="C121" s="286">
        <f>C120*$C$16*$C$37^2</f>
        <v>93.57642247199702</v>
      </c>
      <c r="D121" s="286"/>
      <c r="L121" s="286" t="s">
        <v>330</v>
      </c>
      <c r="M121" s="286">
        <f t="shared" ref="M121" si="30">M120*$C$16*$C$37^2</f>
        <v>59.786471002248412</v>
      </c>
      <c r="N121" s="286"/>
      <c r="V121" s="286" t="s">
        <v>330</v>
      </c>
      <c r="W121" s="286">
        <f t="shared" ref="W121" si="31">W120*$C$16*$C$37^2</f>
        <v>49.739414022415907</v>
      </c>
      <c r="X121" s="286"/>
      <c r="AF121" s="286" t="s">
        <v>330</v>
      </c>
      <c r="AG121" s="286">
        <f t="shared" ref="AG121" si="32">AG120*$C$16*$C$37^2</f>
        <v>40.721449544976338</v>
      </c>
      <c r="AH121" s="286"/>
      <c r="AP121" s="286" t="s">
        <v>330</v>
      </c>
      <c r="AQ121" s="286">
        <f t="shared" ref="AQ121" si="33">AQ120*$C$16*$C$37^2</f>
        <v>36.916352285809744</v>
      </c>
      <c r="AR121" s="286"/>
      <c r="AZ121" s="286" t="s">
        <v>330</v>
      </c>
      <c r="BA121" s="286">
        <f t="shared" ref="BA121" si="34">BA120*$C$16*$C$37^2</f>
        <v>35.202499444626113</v>
      </c>
      <c r="BB121" s="286"/>
    </row>
    <row r="122" spans="2:57">
      <c r="B122" t="s">
        <v>85</v>
      </c>
      <c r="C122" s="305">
        <v>2.7</v>
      </c>
      <c r="D122" s="306">
        <v>2.4532000000000002E-2</v>
      </c>
      <c r="E122" s="306">
        <v>0.44066</v>
      </c>
      <c r="F122" s="34">
        <f>D122*C121^E122</f>
        <v>0.18127885875572239</v>
      </c>
      <c r="L122" t="s">
        <v>85</v>
      </c>
      <c r="M122" s="305">
        <v>2.7</v>
      </c>
      <c r="N122" s="306">
        <v>2.4532000000000002E-2</v>
      </c>
      <c r="O122" s="306">
        <v>0.44066</v>
      </c>
      <c r="P122" s="34">
        <f>N122*M121^O122</f>
        <v>0.14880269551575834</v>
      </c>
      <c r="V122" t="s">
        <v>85</v>
      </c>
      <c r="W122" s="305">
        <v>2.7</v>
      </c>
      <c r="X122" s="306">
        <v>2.4532000000000002E-2</v>
      </c>
      <c r="Y122" s="306">
        <v>0.44066</v>
      </c>
      <c r="Z122" s="34">
        <f>X122*W121^Y122</f>
        <v>0.13721483599430909</v>
      </c>
      <c r="AF122" t="s">
        <v>85</v>
      </c>
      <c r="AG122" s="305">
        <v>2.7</v>
      </c>
      <c r="AH122" s="306">
        <v>2.4532000000000002E-2</v>
      </c>
      <c r="AI122" s="306">
        <v>0.44066</v>
      </c>
      <c r="AJ122" s="34">
        <f>AH122*AG121^AI122</f>
        <v>0.12563702964677317</v>
      </c>
      <c r="AP122" t="s">
        <v>85</v>
      </c>
      <c r="AQ122" s="305">
        <v>2.7</v>
      </c>
      <c r="AR122" s="306">
        <v>2.4532000000000002E-2</v>
      </c>
      <c r="AS122" s="306">
        <v>0.44066</v>
      </c>
      <c r="AT122" s="34">
        <f>AR122*AQ121^AS122</f>
        <v>0.12032159611263502</v>
      </c>
      <c r="AZ122" t="s">
        <v>85</v>
      </c>
      <c r="BA122" s="305">
        <v>2.7</v>
      </c>
      <c r="BB122" s="306">
        <v>2.4532000000000002E-2</v>
      </c>
      <c r="BC122" s="306">
        <v>0.44066</v>
      </c>
      <c r="BD122" s="34">
        <f>BB122*BA121^BC122</f>
        <v>0.11782732948523092</v>
      </c>
    </row>
    <row r="123" spans="2:57">
      <c r="C123" s="305">
        <v>4</v>
      </c>
      <c r="D123" s="306">
        <v>2.5090000000000001E-2</v>
      </c>
      <c r="E123" s="306">
        <v>0.44590999999999997</v>
      </c>
      <c r="F123" s="34">
        <f>D123*C121^E123</f>
        <v>0.18987312031698059</v>
      </c>
      <c r="M123" s="305">
        <v>4</v>
      </c>
      <c r="N123" s="306">
        <v>2.5090000000000001E-2</v>
      </c>
      <c r="O123" s="306">
        <v>0.44590999999999997</v>
      </c>
      <c r="P123" s="34">
        <f>N123*M121^O123</f>
        <v>0.15549114765170463</v>
      </c>
      <c r="W123" s="305">
        <v>4</v>
      </c>
      <c r="X123" s="306">
        <v>2.5090000000000001E-2</v>
      </c>
      <c r="Y123" s="306">
        <v>0.44590999999999997</v>
      </c>
      <c r="Z123" s="34">
        <f>X123*W121^Y123</f>
        <v>0.14324400486034941</v>
      </c>
      <c r="AG123" s="305">
        <v>4</v>
      </c>
      <c r="AH123" s="306">
        <v>2.5090000000000001E-2</v>
      </c>
      <c r="AI123" s="306">
        <v>0.44590999999999997</v>
      </c>
      <c r="AJ123" s="34">
        <f>AH123*AG121^AI123</f>
        <v>0.13101980157188817</v>
      </c>
      <c r="AQ123" s="305">
        <v>4</v>
      </c>
      <c r="AR123" s="306">
        <v>2.5090000000000001E-2</v>
      </c>
      <c r="AS123" s="306">
        <v>0.44590999999999997</v>
      </c>
      <c r="AT123" s="34">
        <f>AR123*AQ121^AS123</f>
        <v>0.12541202728513023</v>
      </c>
      <c r="BA123" s="305">
        <v>4</v>
      </c>
      <c r="BB123" s="306">
        <v>2.5090000000000001E-2</v>
      </c>
      <c r="BC123" s="306">
        <v>0.44590999999999997</v>
      </c>
      <c r="BD123" s="34">
        <f>BB123*BA121^BC123</f>
        <v>0.12278158935536766</v>
      </c>
    </row>
    <row r="124" spans="2:57">
      <c r="C124" s="305">
        <v>10</v>
      </c>
      <c r="D124" s="306">
        <v>2.7927E-2</v>
      </c>
      <c r="E124" s="306">
        <v>0.43947999999999998</v>
      </c>
      <c r="F124" s="34">
        <f>D124*C121^E124</f>
        <v>0.20526386919278194</v>
      </c>
      <c r="M124" s="305">
        <v>10</v>
      </c>
      <c r="N124" s="306">
        <v>2.7927E-2</v>
      </c>
      <c r="O124" s="306">
        <v>0.43947999999999998</v>
      </c>
      <c r="P124" s="34">
        <f>N124*M121^O124</f>
        <v>0.168579878292026</v>
      </c>
      <c r="W124" s="305">
        <v>10</v>
      </c>
      <c r="X124" s="306">
        <v>2.7927E-2</v>
      </c>
      <c r="Y124" s="306">
        <v>0.43947999999999998</v>
      </c>
      <c r="Z124" s="34">
        <f>X124*W121^Y124</f>
        <v>0.15548564267898213</v>
      </c>
      <c r="AG124" s="305">
        <v>10</v>
      </c>
      <c r="AH124" s="306">
        <v>2.7927E-2</v>
      </c>
      <c r="AI124" s="306">
        <v>0.43947999999999998</v>
      </c>
      <c r="AJ124" s="34">
        <f>AH124*AG121^AI124</f>
        <v>0.14239980602398367</v>
      </c>
      <c r="AQ124" s="305">
        <v>10</v>
      </c>
      <c r="AR124" s="306">
        <v>2.7927E-2</v>
      </c>
      <c r="AS124" s="306">
        <v>0.43947999999999998</v>
      </c>
      <c r="AT124" s="34">
        <f>AR124*AQ121^AS124</f>
        <v>0.13639096282736002</v>
      </c>
      <c r="BA124" s="305">
        <v>10</v>
      </c>
      <c r="BB124" s="306">
        <v>2.7927E-2</v>
      </c>
      <c r="BC124" s="306">
        <v>0.43947999999999998</v>
      </c>
      <c r="BD124" s="34">
        <f>BB124*BA121^BC124</f>
        <v>0.13357107059757534</v>
      </c>
    </row>
    <row r="125" spans="2:57">
      <c r="C125" s="307">
        <v>30</v>
      </c>
      <c r="D125" s="308">
        <v>3.0254E-2</v>
      </c>
      <c r="E125" s="308">
        <v>0.442</v>
      </c>
      <c r="F125" s="34">
        <f>D125*C121^E125</f>
        <v>0.22492533086146344</v>
      </c>
      <c r="M125" s="307">
        <v>30</v>
      </c>
      <c r="N125" s="308">
        <v>3.0254E-2</v>
      </c>
      <c r="O125" s="308">
        <v>0.442</v>
      </c>
      <c r="P125" s="34">
        <f>N125*M121^O125</f>
        <v>0.18451908521485635</v>
      </c>
      <c r="W125" s="307">
        <v>30</v>
      </c>
      <c r="X125" s="308">
        <v>3.0254E-2</v>
      </c>
      <c r="Y125" s="308">
        <v>0.442</v>
      </c>
      <c r="Z125" s="34">
        <f>X125*W121^Y125</f>
        <v>0.17010790513050739</v>
      </c>
      <c r="AG125" s="307">
        <v>30</v>
      </c>
      <c r="AH125" s="308">
        <v>3.0254E-2</v>
      </c>
      <c r="AI125" s="308">
        <v>0.442</v>
      </c>
      <c r="AJ125" s="34">
        <f>AH125*AG121^AI125</f>
        <v>0.15571292749901341</v>
      </c>
      <c r="AQ125" s="307">
        <v>30</v>
      </c>
      <c r="AR125" s="308">
        <v>3.0254E-2</v>
      </c>
      <c r="AS125" s="308">
        <v>0.442</v>
      </c>
      <c r="AT125" s="34">
        <f>AR125*AQ121^AS125</f>
        <v>0.14910544529891717</v>
      </c>
      <c r="BA125" s="307">
        <v>30</v>
      </c>
      <c r="BB125" s="308">
        <v>3.0254E-2</v>
      </c>
      <c r="BC125" s="308">
        <v>0.442</v>
      </c>
      <c r="BD125" s="34">
        <f>BB125*BA121^BC125</f>
        <v>0.1460051886256194</v>
      </c>
    </row>
    <row r="126" spans="2:57">
      <c r="B126" t="s">
        <v>87</v>
      </c>
      <c r="D126" t="s">
        <v>264</v>
      </c>
      <c r="E126" s="51" t="s">
        <v>61</v>
      </c>
      <c r="F126" s="242"/>
      <c r="G126" t="s">
        <v>84</v>
      </c>
      <c r="L126" t="s">
        <v>87</v>
      </c>
      <c r="N126" t="s">
        <v>264</v>
      </c>
      <c r="O126" s="51" t="s">
        <v>61</v>
      </c>
      <c r="P126" s="242"/>
      <c r="Q126" t="s">
        <v>84</v>
      </c>
      <c r="V126" t="s">
        <v>87</v>
      </c>
      <c r="X126" t="s">
        <v>264</v>
      </c>
      <c r="Y126" s="51" t="s">
        <v>61</v>
      </c>
      <c r="Z126" s="242"/>
      <c r="AA126" t="s">
        <v>84</v>
      </c>
      <c r="AF126" t="s">
        <v>87</v>
      </c>
      <c r="AH126" t="s">
        <v>264</v>
      </c>
      <c r="AI126" s="51" t="s">
        <v>61</v>
      </c>
      <c r="AJ126" s="242"/>
      <c r="AK126" t="s">
        <v>84</v>
      </c>
      <c r="AP126" t="s">
        <v>87</v>
      </c>
      <c r="AR126" t="s">
        <v>264</v>
      </c>
      <c r="AS126" s="51" t="s">
        <v>61</v>
      </c>
      <c r="AT126" s="242"/>
      <c r="AU126" t="s">
        <v>84</v>
      </c>
      <c r="AZ126" t="s">
        <v>87</v>
      </c>
      <c r="BB126" t="s">
        <v>264</v>
      </c>
      <c r="BC126" s="51" t="s">
        <v>61</v>
      </c>
      <c r="BD126" s="242"/>
      <c r="BE126" t="s">
        <v>84</v>
      </c>
    </row>
    <row r="127" spans="2:57">
      <c r="C127">
        <f>$B$47</f>
        <v>6</v>
      </c>
      <c r="D127">
        <f>EXP(INDEX(LINEST(LN(F122:F125),LN(C122:C125),,),1,2))</f>
        <v>0.16709299110522119</v>
      </c>
      <c r="E127" s="51">
        <f>INDEX(LINEST(LN(F122:F125),LN(C122:C125),,),1)</f>
        <v>8.8114122094645059E-2</v>
      </c>
      <c r="F127">
        <f>MAX(D127*C127^E127, 0.05)</f>
        <v>0.19567004622782422</v>
      </c>
      <c r="M127">
        <f>$B$47</f>
        <v>6</v>
      </c>
      <c r="N127">
        <f>EXP(INDEX(LINEST(LN(P122:P125),LN(M122:M125),,),1,2))</f>
        <v>0.1370097842129672</v>
      </c>
      <c r="O127" s="51">
        <f>INDEX(LINEST(LN(P122:P125),LN(M122:M125),,),1)</f>
        <v>8.8350146779042696E-2</v>
      </c>
      <c r="P127">
        <f>MAX(N127*M127^O127, 0.05)</f>
        <v>0.16050972826720425</v>
      </c>
      <c r="W127">
        <f>$B$47</f>
        <v>6</v>
      </c>
      <c r="X127">
        <f>EXP(INDEX(LINEST(LN(Z122:Z125),LN(W122:W125),,),1,2))</f>
        <v>0.12628411304682066</v>
      </c>
      <c r="Y127" s="51">
        <f>INDEX(LINEST(LN(Z122:Z125),LN(W122:W125),,),1)</f>
        <v>8.8447076072824038E-2</v>
      </c>
      <c r="Z127">
        <f>MAX(X127*W127^Y127, 0.05)</f>
        <v>0.14797008427974329</v>
      </c>
      <c r="AG127">
        <f>$B$47</f>
        <v>6</v>
      </c>
      <c r="AH127">
        <f>EXP(INDEX(LINEST(LN(AJ122:AJ125),LN(AG122:AG125),,),1,2))</f>
        <v>0.11557271374424137</v>
      </c>
      <c r="AI127" s="51">
        <f>INDEX(LINEST(LN(AJ122:AJ125),LN(AG122:AG125),,),1)</f>
        <v>8.8552466947098202E-2</v>
      </c>
      <c r="AJ127">
        <f>MAX(AH127*AG127^AI127, 0.05)</f>
        <v>0.13544485851670043</v>
      </c>
      <c r="AQ127">
        <f>$B$47</f>
        <v>6</v>
      </c>
      <c r="AR127">
        <f>EXP(INDEX(LINEST(LN(AT122:AT125),LN(AQ122:AQ125),,),1,2))</f>
        <v>0.11065683732794171</v>
      </c>
      <c r="AS127" s="51">
        <f>INDEX(LINEST(LN(AT122:AT125),LN(AQ122:AQ125),,),1)</f>
        <v>8.8604150332071488E-2</v>
      </c>
      <c r="AT127">
        <f>MAX(AR127*AQ127^AS127, 0.05)</f>
        <v>0.12969573177628821</v>
      </c>
      <c r="BA127">
        <f>$B$47</f>
        <v>6</v>
      </c>
      <c r="BB127">
        <f>EXP(INDEX(LINEST(LN(BD122:BD125),LN(BA122:BA125),,),1,2))</f>
        <v>0.10835047033879723</v>
      </c>
      <c r="BC127" s="51">
        <f>INDEX(LINEST(LN(BD122:BD125),LN(BA122:BA125),,),1)</f>
        <v>8.8629195089023269E-2</v>
      </c>
      <c r="BD127">
        <f>MAX(BB127*BA127^BC127, 0.05)</f>
        <v>0.12699824512437655</v>
      </c>
    </row>
    <row r="128" spans="2:57">
      <c r="B128" t="s">
        <v>77</v>
      </c>
      <c r="C128" s="48">
        <f>(34-$C$21)*(F127-0.05)^0.62*(0.37*F127*40+3.14)/100</f>
        <v>0.20110621004842349</v>
      </c>
      <c r="L128" t="s">
        <v>77</v>
      </c>
      <c r="M128" s="48">
        <f>(34-$C$21)*(P127-0.05)^0.62*(0.37*P127*40+3.14)/100</f>
        <v>0.15484220735855339</v>
      </c>
      <c r="V128" t="s">
        <v>77</v>
      </c>
      <c r="W128" s="48">
        <f>(34-$C$21)*(Z127-0.05)^0.62*(0.37*Z127*40+3.14)/100</f>
        <v>0.13886550225175667</v>
      </c>
      <c r="AF128" t="s">
        <v>77</v>
      </c>
      <c r="AG128" s="48">
        <f>(34-$C$21)*(AJ127-0.05)^0.62*(0.37*AJ127*40+3.14)/100</f>
        <v>0.12313690105035428</v>
      </c>
      <c r="AP128" t="s">
        <v>77</v>
      </c>
      <c r="AQ128" s="48">
        <f>(34-$C$21)*(AT127-0.05)^0.62*(0.37*AT127*40+3.14)/100</f>
        <v>0.11598177533501954</v>
      </c>
      <c r="AZ128" t="s">
        <v>77</v>
      </c>
      <c r="BA128" s="48">
        <f>(34-$C$21)*(BD127-0.05)^0.62*(0.37*BD127*40+3.14)/100</f>
        <v>0.11263611474463758</v>
      </c>
    </row>
    <row r="129" spans="2:53">
      <c r="B129" t="s">
        <v>50</v>
      </c>
      <c r="C129" s="46">
        <f>0.5*C128^2+0.25*C128+0.03</f>
        <v>0.10049840637212619</v>
      </c>
      <c r="L129" t="s">
        <v>50</v>
      </c>
      <c r="M129" s="46">
        <f>0.5*M128^2+0.25*M128+0.03</f>
        <v>8.0698606429472963E-2</v>
      </c>
      <c r="V129" t="s">
        <v>50</v>
      </c>
      <c r="W129" s="46">
        <f>0.5*W128^2+0.25*W128+0.03</f>
        <v>7.4358189420755477E-2</v>
      </c>
      <c r="AF129" t="s">
        <v>50</v>
      </c>
      <c r="AG129" s="46">
        <f>0.5*AG128^2+0.25*AG128+0.03</f>
        <v>6.836557346273095E-2</v>
      </c>
      <c r="AP129" t="s">
        <v>50</v>
      </c>
      <c r="AQ129" s="46">
        <f>0.5*AQ128^2+0.25*AQ128+0.03</f>
        <v>6.5721329938686346E-2</v>
      </c>
      <c r="AZ129" t="s">
        <v>50</v>
      </c>
      <c r="BA129" s="46">
        <f>0.5*BA128^2+0.25*BA128+0.03</f>
        <v>6.4502475858542976E-2</v>
      </c>
    </row>
    <row r="130" spans="2:53">
      <c r="B130" t="s">
        <v>86</v>
      </c>
      <c r="C130" s="46" t="str">
        <f>IF(C128&lt;10%,"A",IF(C128&lt;20%,"B",IF(C128&lt;30,"C","-")))</f>
        <v>C</v>
      </c>
      <c r="L130" t="s">
        <v>86</v>
      </c>
      <c r="M130" s="46" t="str">
        <f>IF(M128&lt;10%,"A",IF(M128&lt;20%,"B",IF(M128&lt;30,"C","-")))</f>
        <v>B</v>
      </c>
      <c r="V130" t="s">
        <v>86</v>
      </c>
      <c r="W130" s="46" t="str">
        <f>IF(W128&lt;10%,"A",IF(W128&lt;20%,"B",IF(W128&lt;30,"C","-")))</f>
        <v>B</v>
      </c>
      <c r="AF130" t="s">
        <v>86</v>
      </c>
      <c r="AG130" s="46" t="str">
        <f>IF(AG128&lt;10%,"A",IF(AG128&lt;20%,"B",IF(AG128&lt;30,"C","-")))</f>
        <v>B</v>
      </c>
      <c r="AP130" t="s">
        <v>86</v>
      </c>
      <c r="AQ130" s="46" t="str">
        <f>IF(AQ128&lt;10%,"A",IF(AQ128&lt;20%,"B",IF(AQ128&lt;30,"C","-")))</f>
        <v>B</v>
      </c>
      <c r="AZ130" t="s">
        <v>86</v>
      </c>
      <c r="BA130" s="46" t="str">
        <f>IF(BA128&lt;10%,"A",IF(BA128&lt;20%,"B",IF(BA128&lt;30,"C","-")))</f>
        <v>B</v>
      </c>
    </row>
    <row r="131" spans="2:53">
      <c r="B131" t="s">
        <v>288</v>
      </c>
      <c r="C131" s="82">
        <f>ABS(0.4527*LN(C128)+1.2387)</f>
        <v>0.51260446429766171</v>
      </c>
      <c r="L131" t="s">
        <v>288</v>
      </c>
      <c r="M131" s="82">
        <f>ABS(0.4527*LN(M128)+1.2387)</f>
        <v>0.39425664458028431</v>
      </c>
      <c r="V131" t="s">
        <v>288</v>
      </c>
      <c r="W131" s="82">
        <f>ABS(0.4527*LN(W128)+1.2387)</f>
        <v>0.34495728576085727</v>
      </c>
      <c r="AF131" t="s">
        <v>288</v>
      </c>
      <c r="AG131" s="82">
        <f>ABS(0.4527*LN(AG128)+1.2387)</f>
        <v>0.29053862533231078</v>
      </c>
      <c r="AP131" t="s">
        <v>288</v>
      </c>
      <c r="AQ131" s="82">
        <f>ABS(0.4527*LN(AQ128)+1.2387)</f>
        <v>0.26343833580481069</v>
      </c>
      <c r="AZ131" t="s">
        <v>288</v>
      </c>
      <c r="BA131" s="82">
        <f>ABS(0.4527*LN(BA128)+1.2387)</f>
        <v>0.25018750329358463</v>
      </c>
    </row>
    <row r="132" spans="2:53">
      <c r="C132" s="46"/>
      <c r="M132" s="46"/>
      <c r="W132" s="46"/>
      <c r="AG132" s="46"/>
      <c r="AQ132" s="46"/>
      <c r="BA132" s="46"/>
    </row>
    <row r="133" spans="2:53">
      <c r="B133" s="31" t="s">
        <v>315</v>
      </c>
      <c r="C133" s="82">
        <f>C117</f>
        <v>5.9294719579604527</v>
      </c>
      <c r="L133" s="31" t="s">
        <v>315</v>
      </c>
      <c r="M133" s="82">
        <f>M117</f>
        <v>5.9294719579604527</v>
      </c>
      <c r="V133" s="31" t="s">
        <v>315</v>
      </c>
      <c r="W133" s="82">
        <f>W117</f>
        <v>5.9294719579604527</v>
      </c>
      <c r="AF133" s="31" t="s">
        <v>315</v>
      </c>
      <c r="AG133" s="82">
        <f>AG117</f>
        <v>5.9294719579604527</v>
      </c>
      <c r="AP133" s="31" t="s">
        <v>315</v>
      </c>
      <c r="AQ133" s="82">
        <f>AQ117</f>
        <v>5.9294719579604527</v>
      </c>
      <c r="AZ133" s="31" t="s">
        <v>315</v>
      </c>
      <c r="BA133" s="82">
        <f>BA117</f>
        <v>5.9294719579604527</v>
      </c>
    </row>
    <row r="134" spans="2:53">
      <c r="B134" t="s">
        <v>316</v>
      </c>
      <c r="C134" s="82">
        <f>IF($C$61=3,C114,C115)</f>
        <v>10.05929664298667</v>
      </c>
      <c r="L134" t="s">
        <v>316</v>
      </c>
      <c r="M134" s="82">
        <f>IF($C$61=3,M114,M115)</f>
        <v>10.05929664298667</v>
      </c>
      <c r="V134" t="s">
        <v>316</v>
      </c>
      <c r="W134" s="82">
        <f>IF($C$61=3,W114,W115)</f>
        <v>10.05929664298667</v>
      </c>
      <c r="AF134" t="s">
        <v>316</v>
      </c>
      <c r="AG134" s="82">
        <f>IF($C$61=3,AG114,AG115)</f>
        <v>10.05929664298667</v>
      </c>
      <c r="AP134" t="s">
        <v>316</v>
      </c>
      <c r="AQ134" s="82">
        <f>IF($C$61=3,AQ114,AQ115)</f>
        <v>10.05929664298667</v>
      </c>
      <c r="AZ134" t="s">
        <v>316</v>
      </c>
      <c r="BA134" s="82">
        <f>IF($C$61=3,BA114,BA115)</f>
        <v>10.05929664298667</v>
      </c>
    </row>
    <row r="136" spans="2:53" ht="17.25" thickBot="1">
      <c r="B136" s="28" t="s">
        <v>35</v>
      </c>
      <c r="L136" s="28" t="s">
        <v>35</v>
      </c>
      <c r="V136" s="28" t="s">
        <v>35</v>
      </c>
      <c r="AF136" s="28" t="s">
        <v>35</v>
      </c>
      <c r="AP136" s="28" t="s">
        <v>35</v>
      </c>
    </row>
    <row r="137" spans="2:53" ht="14.65" thickTop="1">
      <c r="B137" t="s">
        <v>26</v>
      </c>
      <c r="C137">
        <f>E137*($C$11/F137)^2</f>
        <v>677.48127517031128</v>
      </c>
      <c r="D137" t="s">
        <v>27</v>
      </c>
      <c r="E137">
        <f>E71</f>
        <v>50</v>
      </c>
      <c r="F137">
        <v>163</v>
      </c>
      <c r="L137" t="s">
        <v>26</v>
      </c>
      <c r="M137">
        <f>O137*($C$11/P137)^2</f>
        <v>168.33599865331203</v>
      </c>
      <c r="N137" t="s">
        <v>27</v>
      </c>
      <c r="O137">
        <f>O71</f>
        <v>50</v>
      </c>
      <c r="P137">
        <v>327</v>
      </c>
      <c r="V137" t="s">
        <v>26</v>
      </c>
      <c r="W137" s="34">
        <f>Y137*($C$11/Z137)^2</f>
        <v>49.503725155317937</v>
      </c>
      <c r="X137" t="s">
        <v>27</v>
      </c>
      <c r="Y137">
        <f>Y71</f>
        <v>50</v>
      </c>
      <c r="Z137">
        <v>603</v>
      </c>
      <c r="AF137" t="s">
        <v>26</v>
      </c>
      <c r="AG137" s="34">
        <f>AI137*($C$11/AJ137)^2</f>
        <v>12.175435470826864</v>
      </c>
      <c r="AH137" t="s">
        <v>27</v>
      </c>
      <c r="AI137">
        <f>AI71</f>
        <v>50</v>
      </c>
      <c r="AJ137">
        <f>Z137*(710/500)^2</f>
        <v>1215.8892000000001</v>
      </c>
      <c r="AP137" t="s">
        <v>26</v>
      </c>
      <c r="AQ137" s="34">
        <f>AS137*($C$11/AT137)^2</f>
        <v>3.0939828222073711</v>
      </c>
      <c r="AR137" t="s">
        <v>27</v>
      </c>
      <c r="AS137">
        <f>AS71</f>
        <v>50</v>
      </c>
      <c r="AT137">
        <f>AJ137*(1000/710)^2</f>
        <v>2412</v>
      </c>
    </row>
    <row r="138" spans="2:53">
      <c r="B138" t="s">
        <v>272</v>
      </c>
      <c r="C138">
        <v>250</v>
      </c>
      <c r="E138" s="33"/>
      <c r="F138" s="50"/>
      <c r="L138" t="s">
        <v>272</v>
      </c>
      <c r="M138">
        <v>355</v>
      </c>
      <c r="O138" s="33"/>
      <c r="P138" s="50"/>
      <c r="V138" t="s">
        <v>272</v>
      </c>
      <c r="W138">
        <v>500</v>
      </c>
      <c r="Y138" s="33">
        <f>Y137*(Z138/Z137)^2</f>
        <v>42.96332533770989</v>
      </c>
      <c r="Z138" s="50">
        <f>Z$137*(Z$72/Z$71)</f>
        <v>558.9606741573034</v>
      </c>
      <c r="AF138" t="s">
        <v>272</v>
      </c>
      <c r="AG138">
        <v>710</v>
      </c>
      <c r="AI138" s="33"/>
      <c r="AJ138" s="50"/>
      <c r="AP138" t="s">
        <v>272</v>
      </c>
      <c r="AQ138">
        <v>1000</v>
      </c>
      <c r="AS138" s="33"/>
      <c r="AT138" s="50"/>
    </row>
    <row r="139" spans="2:53">
      <c r="B139" t="s">
        <v>273</v>
      </c>
      <c r="C139" s="33">
        <f>PI()*(C138/2000)^2</f>
        <v>4.9087385212340517E-2</v>
      </c>
      <c r="L139" t="s">
        <v>273</v>
      </c>
      <c r="M139" s="33">
        <f t="shared" ref="M139" si="35">PI()*(M138/2000)^2</f>
        <v>9.8979803542163416E-2</v>
      </c>
      <c r="V139" t="s">
        <v>273</v>
      </c>
      <c r="W139" s="33">
        <f t="shared" ref="W139" si="36">PI()*(W138/2000)^2</f>
        <v>0.19634954084936207</v>
      </c>
      <c r="AF139" t="s">
        <v>273</v>
      </c>
      <c r="AG139" s="33">
        <f t="shared" ref="AG139" si="37">PI()*(AG138/2000)^2</f>
        <v>0.39591921416865367</v>
      </c>
      <c r="AP139" t="s">
        <v>273</v>
      </c>
      <c r="AQ139" s="33">
        <f t="shared" ref="AQ139" si="38">PI()*(AQ138/2000)^2</f>
        <v>0.78539816339744828</v>
      </c>
    </row>
    <row r="140" spans="2:53">
      <c r="B140" t="s">
        <v>271</v>
      </c>
      <c r="C140">
        <f>C137-(0.5*1.225*($C$11/(1000*C139))^2)</f>
        <v>585.97122438242832</v>
      </c>
      <c r="L140" t="s">
        <v>271</v>
      </c>
      <c r="M140">
        <f t="shared" ref="M140" si="39">M137-(0.5*1.225*($C$11/(1000*M139))^2)</f>
        <v>145.82911225629374</v>
      </c>
      <c r="V140" t="s">
        <v>271</v>
      </c>
      <c r="W140">
        <f t="shared" ref="W140" si="40">W137-(0.5*1.225*($C$11/(1000*W139))^2)</f>
        <v>43.784346981075252</v>
      </c>
      <c r="AF140" t="s">
        <v>271</v>
      </c>
      <c r="AG140">
        <f t="shared" ref="AG140" si="41">AG137-(0.5*1.225*($C$11/(1000*AG139))^2)</f>
        <v>10.768755071013221</v>
      </c>
      <c r="AP140" t="s">
        <v>271</v>
      </c>
      <c r="AQ140">
        <f t="shared" ref="AQ140" si="42">AQ137-(0.5*1.225*($C$11/(1000*AQ139))^2)</f>
        <v>2.7365216863172033</v>
      </c>
    </row>
    <row r="141" spans="2:53">
      <c r="B141" t="s">
        <v>51</v>
      </c>
      <c r="C141">
        <f>F137*SQRT($C$14/E137)</f>
        <v>178.55755374668414</v>
      </c>
      <c r="L141" t="s">
        <v>51</v>
      </c>
      <c r="M141">
        <f>P137*SQRT($C$14/O137)</f>
        <v>358.21055260837863</v>
      </c>
      <c r="V141" t="s">
        <v>51</v>
      </c>
      <c r="W141">
        <f>Z137*SQRT($C$14/Y137)</f>
        <v>660.55340435123026</v>
      </c>
      <c r="AF141" t="s">
        <v>51</v>
      </c>
      <c r="AG141">
        <f>AJ137*SQRT($C$14/AI137)</f>
        <v>1331.9398845338208</v>
      </c>
      <c r="AP141" t="s">
        <v>51</v>
      </c>
      <c r="AQ141">
        <f>AT137*SQRT($C$14/AS137)</f>
        <v>2642.213617404921</v>
      </c>
    </row>
    <row r="142" spans="2:53">
      <c r="B142" t="s">
        <v>105</v>
      </c>
      <c r="C142">
        <f>E142*SQRT($C$16/F142)</f>
        <v>59.1</v>
      </c>
      <c r="D142" t="s">
        <v>107</v>
      </c>
      <c r="E142">
        <v>59.1</v>
      </c>
      <c r="F142">
        <v>12</v>
      </c>
      <c r="L142" t="s">
        <v>105</v>
      </c>
      <c r="M142">
        <f>O142*SQRT($C$16/P142)</f>
        <v>118.9</v>
      </c>
      <c r="N142" t="s">
        <v>107</v>
      </c>
      <c r="O142">
        <v>118.9</v>
      </c>
      <c r="P142">
        <v>12</v>
      </c>
      <c r="V142" t="s">
        <v>105</v>
      </c>
      <c r="W142">
        <f>Y142*SQRT($C$16/Z142)</f>
        <v>234.6</v>
      </c>
      <c r="X142" t="s">
        <v>107</v>
      </c>
      <c r="Y142">
        <v>234.6</v>
      </c>
      <c r="Z142">
        <v>12</v>
      </c>
      <c r="AF142" t="s">
        <v>105</v>
      </c>
      <c r="AG142">
        <f>AI142*SQRT($C$16/AJ142)</f>
        <v>471.8</v>
      </c>
      <c r="AH142" t="s">
        <v>107</v>
      </c>
      <c r="AI142">
        <v>471.8</v>
      </c>
      <c r="AJ142">
        <v>12</v>
      </c>
      <c r="AP142" t="s">
        <v>105</v>
      </c>
      <c r="AQ142">
        <f>AS142*SQRT($C$16/AT142)</f>
        <v>930.7</v>
      </c>
      <c r="AR142" t="s">
        <v>107</v>
      </c>
      <c r="AS142">
        <v>930.7</v>
      </c>
      <c r="AT142">
        <v>12</v>
      </c>
    </row>
    <row r="143" spans="2:53">
      <c r="B143" t="s">
        <v>28</v>
      </c>
      <c r="C143" s="30">
        <f>E143*LN(C137)+F143</f>
        <v>86.1895157460131</v>
      </c>
      <c r="E143" s="30">
        <v>14.39</v>
      </c>
      <c r="F143">
        <v>-7.61</v>
      </c>
      <c r="L143" t="s">
        <v>28</v>
      </c>
      <c r="M143" s="30">
        <f>O143*LN(M137)+P143</f>
        <v>70.338785654650522</v>
      </c>
      <c r="O143" s="30">
        <v>15.63</v>
      </c>
      <c r="P143">
        <v>-9.7799999999999994</v>
      </c>
      <c r="V143" t="s">
        <v>28</v>
      </c>
      <c r="W143" s="30">
        <f>Y143*LN(W137)+Z143</f>
        <v>51.333043021697023</v>
      </c>
      <c r="Y143" s="30">
        <v>14.67</v>
      </c>
      <c r="Z143">
        <v>-5.91</v>
      </c>
      <c r="AF143" t="s">
        <v>28</v>
      </c>
      <c r="AG143" s="30">
        <f>AI143*LN(AG137)+AJ143</f>
        <v>32.947462894001305</v>
      </c>
      <c r="AI143" s="30">
        <v>14.327999999999999</v>
      </c>
      <c r="AJ143" s="30">
        <v>-2.8642331123388707</v>
      </c>
      <c r="AP143" t="s">
        <v>28</v>
      </c>
      <c r="AQ143" s="30">
        <f>AS143*LN(AQ137)+AT143</f>
        <v>16.366684113705144</v>
      </c>
      <c r="AS143" s="30">
        <v>14.33</v>
      </c>
      <c r="AT143">
        <v>0.18153377532225878</v>
      </c>
    </row>
    <row r="144" spans="2:53">
      <c r="B144" t="s">
        <v>232</v>
      </c>
      <c r="C144" s="30">
        <v>209</v>
      </c>
      <c r="L144" t="s">
        <v>232</v>
      </c>
      <c r="M144" s="30">
        <v>297</v>
      </c>
      <c r="V144" t="s">
        <v>232</v>
      </c>
      <c r="W144" s="30">
        <v>418</v>
      </c>
      <c r="AF144" t="s">
        <v>232</v>
      </c>
      <c r="AG144" s="30">
        <v>594</v>
      </c>
      <c r="AP144" t="s">
        <v>232</v>
      </c>
      <c r="AQ144" s="30">
        <v>837</v>
      </c>
    </row>
    <row r="145" spans="2:53">
      <c r="B145" t="s">
        <v>104</v>
      </c>
      <c r="C145" s="33">
        <f>PI()*(C144/2000)^2</f>
        <v>3.4306977175363934E-2</v>
      </c>
      <c r="L145" t="s">
        <v>104</v>
      </c>
      <c r="M145" s="33">
        <f>PI()*(M144/2000)^2</f>
        <v>6.9279186595125511E-2</v>
      </c>
      <c r="V145" t="s">
        <v>104</v>
      </c>
      <c r="W145" s="33">
        <f>PI()*(W144/2000)^2</f>
        <v>0.13722790870145574</v>
      </c>
      <c r="AF145" t="s">
        <v>104</v>
      </c>
      <c r="AG145" s="33">
        <f>PI()*(AG144/2000)^2</f>
        <v>0.27711674638050204</v>
      </c>
      <c r="AP145" t="s">
        <v>104</v>
      </c>
      <c r="AQ145" s="33">
        <f>PI()*(AQ144/2000)^2</f>
        <v>0.55022560593318692</v>
      </c>
    </row>
    <row r="146" spans="2:53">
      <c r="B146" t="s">
        <v>233</v>
      </c>
      <c r="C146" s="33">
        <f>$C$11/1000/C145</f>
        <v>17.489153793207521</v>
      </c>
      <c r="L146" t="s">
        <v>233</v>
      </c>
      <c r="M146" s="33">
        <f>$C$11/1000/M145</f>
        <v>8.6606097659093475</v>
      </c>
      <c r="V146" t="s">
        <v>233</v>
      </c>
      <c r="W146" s="33">
        <f>$C$11/1000/W145</f>
        <v>4.3722884483018802</v>
      </c>
      <c r="AF146" t="s">
        <v>233</v>
      </c>
      <c r="AG146" s="33">
        <f>$C$11/1000/AG145</f>
        <v>2.1651524414773369</v>
      </c>
      <c r="AP146" t="s">
        <v>233</v>
      </c>
      <c r="AQ146" s="33">
        <f>$C$11/1000/AQ145</f>
        <v>1.0904617915452977</v>
      </c>
    </row>
    <row r="147" spans="2:53">
      <c r="C147" s="33"/>
      <c r="M147" s="33"/>
      <c r="W147" s="33"/>
      <c r="AG147" s="33"/>
      <c r="AQ147" s="33"/>
    </row>
    <row r="148" spans="2:53">
      <c r="B148" s="31" t="s">
        <v>323</v>
      </c>
      <c r="C148" s="33"/>
      <c r="L148" s="31" t="s">
        <v>323</v>
      </c>
      <c r="M148" s="33"/>
      <c r="V148" s="31" t="s">
        <v>323</v>
      </c>
      <c r="W148" s="33"/>
      <c r="AF148" s="31" t="s">
        <v>323</v>
      </c>
      <c r="AG148" s="33"/>
      <c r="AP148" s="31" t="s">
        <v>323</v>
      </c>
      <c r="AQ148" s="33"/>
    </row>
    <row r="149" spans="2:53">
      <c r="B149" t="s">
        <v>29</v>
      </c>
      <c r="C149" s="30">
        <f>(3.33/$C$27)^2*$C$68*C146^2*SQRT(C145)</f>
        <v>81.006510161469393</v>
      </c>
      <c r="D149" s="31"/>
      <c r="E149" s="31"/>
      <c r="F149" s="31"/>
      <c r="G149" s="31"/>
      <c r="H149" s="31"/>
      <c r="L149" t="s">
        <v>29</v>
      </c>
      <c r="M149" s="30">
        <f t="shared" ref="M149" si="43">(3.33/$C$27)^2*$C$68*M146^2*SQRT(M145)</f>
        <v>28.228606066022376</v>
      </c>
      <c r="N149" s="31"/>
      <c r="O149" s="31"/>
      <c r="P149" s="31"/>
      <c r="Q149" s="31"/>
      <c r="R149" s="31"/>
      <c r="V149" t="s">
        <v>29</v>
      </c>
      <c r="W149" s="30">
        <f t="shared" ref="W149" si="44">(3.33/$C$27)^2*$C$68*W146^2*SQRT(W145)</f>
        <v>10.125813770183674</v>
      </c>
      <c r="X149" s="31"/>
      <c r="Y149" s="31"/>
      <c r="Z149" s="31"/>
      <c r="AA149" s="31"/>
      <c r="AB149" s="31"/>
      <c r="AF149" t="s">
        <v>29</v>
      </c>
      <c r="AG149" s="30">
        <f t="shared" ref="AG149" si="45">(3.33/$C$27)^2*$C$68*AG146^2*SQRT(AG145)</f>
        <v>3.528575758252797</v>
      </c>
      <c r="AH149" s="31"/>
      <c r="AI149" s="31"/>
      <c r="AJ149" s="31"/>
      <c r="AK149" s="31"/>
      <c r="AL149" s="31"/>
      <c r="AP149" t="s">
        <v>29</v>
      </c>
      <c r="AQ149" s="30">
        <f t="shared" ref="AQ149" si="46">(3.33/$C$27)^2*$C$68*AQ146^2*SQRT(AQ145)</f>
        <v>1.2611954843367388</v>
      </c>
      <c r="AR149" s="31"/>
      <c r="AS149" s="31"/>
      <c r="AT149" s="31"/>
      <c r="AU149" s="31"/>
      <c r="AV149" s="31"/>
    </row>
    <row r="150" spans="2:53">
      <c r="B150" t="s">
        <v>126</v>
      </c>
      <c r="C150">
        <f>C149*$D$66</f>
        <v>81.006510161469393</v>
      </c>
      <c r="E150" s="29"/>
      <c r="G150" s="29"/>
      <c r="H150" s="30"/>
      <c r="L150" t="s">
        <v>126</v>
      </c>
      <c r="M150">
        <f>M149*$D$66</f>
        <v>28.228606066022376</v>
      </c>
      <c r="O150" s="29"/>
      <c r="Q150" s="29"/>
      <c r="R150" s="30"/>
      <c r="V150" t="s">
        <v>126</v>
      </c>
      <c r="W150">
        <f>W149*$D$66</f>
        <v>10.125813770183674</v>
      </c>
      <c r="Y150" s="29"/>
      <c r="AA150" s="29"/>
      <c r="AB150" s="30"/>
      <c r="AF150" t="s">
        <v>126</v>
      </c>
      <c r="AG150">
        <f>AG149*$D$66</f>
        <v>3.528575758252797</v>
      </c>
      <c r="AI150" s="29"/>
      <c r="AK150" s="29"/>
      <c r="AL150" s="30"/>
      <c r="AP150" t="s">
        <v>126</v>
      </c>
      <c r="AQ150">
        <f>AQ149*$D$66</f>
        <v>1.2611954843367388</v>
      </c>
      <c r="AS150" s="29"/>
      <c r="AU150" s="29"/>
      <c r="AV150" s="30"/>
    </row>
    <row r="151" spans="2:53">
      <c r="B151" t="s">
        <v>29</v>
      </c>
      <c r="C151" s="30">
        <f>C150</f>
        <v>81.006510161469393</v>
      </c>
      <c r="E151" s="29"/>
      <c r="F151" s="29"/>
      <c r="G151" s="29"/>
      <c r="H151" s="33"/>
      <c r="L151" t="s">
        <v>29</v>
      </c>
      <c r="M151" s="30">
        <f>M150</f>
        <v>28.228606066022376</v>
      </c>
      <c r="V151" t="s">
        <v>29</v>
      </c>
      <c r="W151" s="30">
        <f>W150</f>
        <v>10.125813770183674</v>
      </c>
      <c r="Y151" s="29"/>
      <c r="Z151" s="29"/>
      <c r="AA151" s="29"/>
      <c r="AB151" s="33"/>
      <c r="AF151" t="s">
        <v>29</v>
      </c>
      <c r="AG151" s="30">
        <f>AG150</f>
        <v>3.528575758252797</v>
      </c>
      <c r="AI151" s="29"/>
      <c r="AJ151" s="29"/>
      <c r="AK151" s="29"/>
      <c r="AL151" s="33"/>
      <c r="AP151" t="s">
        <v>29</v>
      </c>
      <c r="AQ151" s="30">
        <f>AQ150</f>
        <v>1.2611954843367388</v>
      </c>
      <c r="AS151" s="29"/>
      <c r="AT151" s="29"/>
      <c r="AU151" s="29"/>
      <c r="AV151" s="33"/>
    </row>
    <row r="152" spans="2:53">
      <c r="B152" t="s">
        <v>175</v>
      </c>
      <c r="C152" s="30">
        <f>C150+$C$24</f>
        <v>85.006510161469393</v>
      </c>
      <c r="E152" s="29"/>
      <c r="F152" s="29"/>
      <c r="G152" s="29"/>
      <c r="H152" s="33"/>
      <c r="L152" t="s">
        <v>175</v>
      </c>
      <c r="M152" s="30">
        <f>M150+$C$24</f>
        <v>32.22860606602238</v>
      </c>
      <c r="V152" t="s">
        <v>175</v>
      </c>
      <c r="W152" s="30">
        <f>W150+$C$24</f>
        <v>14.125813770183674</v>
      </c>
      <c r="Y152" s="29"/>
      <c r="Z152" s="29"/>
      <c r="AA152" s="29"/>
      <c r="AB152" s="33"/>
      <c r="AF152" t="s">
        <v>175</v>
      </c>
      <c r="AG152" s="30">
        <f>AG150+$C$24</f>
        <v>7.5285757582527975</v>
      </c>
      <c r="AI152" s="29"/>
      <c r="AJ152" s="29"/>
      <c r="AK152" s="29"/>
      <c r="AL152" s="33"/>
      <c r="AP152" t="s">
        <v>175</v>
      </c>
      <c r="AQ152" s="30">
        <f>AQ150+$C$24</f>
        <v>5.2611954843367386</v>
      </c>
      <c r="AS152" s="29"/>
      <c r="AT152" s="29"/>
      <c r="AU152" s="29"/>
      <c r="AV152" s="33"/>
    </row>
    <row r="153" spans="2:53">
      <c r="B153" t="s">
        <v>34</v>
      </c>
      <c r="C153" s="30">
        <f>$C$17+C152</f>
        <v>101.00651016146939</v>
      </c>
      <c r="L153" t="s">
        <v>34</v>
      </c>
      <c r="M153" s="30">
        <f>$C$17+M152</f>
        <v>48.22860606602238</v>
      </c>
      <c r="V153" t="s">
        <v>34</v>
      </c>
      <c r="W153" s="30">
        <f>$C$17+W152</f>
        <v>30.125813770183676</v>
      </c>
      <c r="AF153" t="s">
        <v>34</v>
      </c>
      <c r="AG153" s="30">
        <f>$C$17+AG152</f>
        <v>23.528575758252799</v>
      </c>
      <c r="AP153" t="s">
        <v>34</v>
      </c>
      <c r="AQ153" s="30">
        <f>$C$17+AQ152</f>
        <v>21.261195484336739</v>
      </c>
    </row>
    <row r="154" spans="2:53">
      <c r="B154" t="s">
        <v>335</v>
      </c>
      <c r="C154" s="30" t="str">
        <f>IF(AND(C153&gt;20,C153&lt;22.5),22,IF(AND(C153&gt;=24.5,C153&lt;27.5),26,IF(AND(C153&gt;29.5,C153&lt;32.5),30,IF(AND(C153&gt;=19.5,C153&lt;32.5),C153,"n.r."))))</f>
        <v>n.r.</v>
      </c>
      <c r="L154" t="s">
        <v>335</v>
      </c>
      <c r="M154" s="30" t="str">
        <f t="shared" ref="M154" si="47">IF(AND(M153&gt;20,M153&lt;22.5),22,IF(AND(M153&gt;=24.5,M153&lt;27.5),26,IF(AND(M153&gt;29.5,M153&lt;32.5),30,IF(AND(M153&gt;=19.5,M153&lt;32.5),M153,"n.r."))))</f>
        <v>n.r.</v>
      </c>
      <c r="V154" t="s">
        <v>335</v>
      </c>
      <c r="W154" s="30">
        <f t="shared" ref="W154" si="48">IF(AND(W153&gt;20,W153&lt;22.5),22,IF(AND(W153&gt;=24.5,W153&lt;27.5),26,IF(AND(W153&gt;29.5,W153&lt;32.5),30,IF(AND(W153&gt;=19.5,W153&lt;32.5),W153,"n.r."))))</f>
        <v>30</v>
      </c>
      <c r="AF154" t="s">
        <v>335</v>
      </c>
      <c r="AG154" s="30">
        <f t="shared" ref="AG154" si="49">IF(AND(AG153&gt;20,AG153&lt;22.5),22,IF(AND(AG153&gt;=24.5,AG153&lt;27.5),26,IF(AND(AG153&gt;29.5,AG153&lt;32.5),30,IF(AND(AG153&gt;=19.5,AG153&lt;32.5),AG153,"n.r."))))</f>
        <v>23.528575758252799</v>
      </c>
      <c r="AP154" t="s">
        <v>335</v>
      </c>
      <c r="AQ154" s="30">
        <f t="shared" ref="AQ154" si="50">IF(AND(AQ153&gt;20,AQ153&lt;22.5),22,IF(AND(AQ153&gt;=24.5,AQ153&lt;27.5),26,IF(AND(AQ153&gt;29.5,AQ153&lt;32.5),30,IF(AND(AQ153&gt;=19.5,AQ153&lt;32.5),AQ153,"n.r."))))</f>
        <v>22</v>
      </c>
      <c r="BA154" s="30"/>
    </row>
    <row r="155" spans="2:53">
      <c r="C155" s="32"/>
      <c r="M155" s="32"/>
      <c r="W155" s="32"/>
      <c r="AG155" s="32"/>
    </row>
    <row r="156" spans="2:53">
      <c r="B156" s="31" t="s">
        <v>324</v>
      </c>
      <c r="C156" s="32"/>
      <c r="L156" s="31" t="s">
        <v>324</v>
      </c>
      <c r="M156" s="32"/>
      <c r="V156" s="31" t="s">
        <v>324</v>
      </c>
      <c r="W156" s="32"/>
      <c r="AF156" s="31" t="s">
        <v>324</v>
      </c>
      <c r="AG156" s="32"/>
      <c r="AP156" s="31" t="s">
        <v>324</v>
      </c>
    </row>
    <row r="157" spans="2:53">
      <c r="B157" t="s">
        <v>246</v>
      </c>
      <c r="C157" s="32">
        <v>2.5</v>
      </c>
      <c r="L157" t="s">
        <v>246</v>
      </c>
      <c r="M157" s="32">
        <v>2.5</v>
      </c>
      <c r="V157" t="s">
        <v>246</v>
      </c>
      <c r="W157" s="32">
        <v>3.5</v>
      </c>
      <c r="AF157" t="s">
        <v>246</v>
      </c>
      <c r="AG157" s="32">
        <v>4.5</v>
      </c>
      <c r="AP157" t="s">
        <v>246</v>
      </c>
      <c r="AQ157" s="32">
        <v>5.5</v>
      </c>
    </row>
    <row r="158" spans="2:53">
      <c r="B158" t="s">
        <v>259</v>
      </c>
      <c r="C158">
        <f>C157*$F$31</f>
        <v>2.75</v>
      </c>
      <c r="L158" t="s">
        <v>259</v>
      </c>
      <c r="M158">
        <f>M157*$F$31</f>
        <v>2.75</v>
      </c>
      <c r="V158" t="s">
        <v>259</v>
      </c>
      <c r="W158">
        <f>W157*$F$31</f>
        <v>3.8500000000000005</v>
      </c>
      <c r="AF158" t="s">
        <v>259</v>
      </c>
      <c r="AG158">
        <f>AG157*$F$31</f>
        <v>4.95</v>
      </c>
      <c r="AP158" t="s">
        <v>259</v>
      </c>
      <c r="AQ158">
        <f>AQ157*$F$31</f>
        <v>6.0500000000000007</v>
      </c>
    </row>
    <row r="160" spans="2:53">
      <c r="B160" s="31" t="s">
        <v>322</v>
      </c>
      <c r="L160" s="31" t="s">
        <v>322</v>
      </c>
      <c r="V160" s="31" t="s">
        <v>322</v>
      </c>
      <c r="AF160" s="31" t="s">
        <v>322</v>
      </c>
      <c r="AP160" s="31" t="s">
        <v>322</v>
      </c>
      <c r="AZ160" s="31"/>
    </row>
    <row r="161" spans="2:45">
      <c r="B161" t="s">
        <v>282</v>
      </c>
      <c r="C161">
        <f>F137</f>
        <v>163</v>
      </c>
      <c r="L161" t="s">
        <v>282</v>
      </c>
      <c r="M161">
        <f>P137</f>
        <v>327</v>
      </c>
      <c r="V161" t="s">
        <v>282</v>
      </c>
      <c r="W161">
        <f>Z138</f>
        <v>558.9606741573034</v>
      </c>
      <c r="AF161" t="s">
        <v>282</v>
      </c>
      <c r="AG161">
        <f>AJ137</f>
        <v>1215.8892000000001</v>
      </c>
      <c r="AP161" t="s">
        <v>282</v>
      </c>
      <c r="AQ161">
        <f>AT137</f>
        <v>2412</v>
      </c>
    </row>
    <row r="162" spans="2:45">
      <c r="B162" t="s">
        <v>105</v>
      </c>
      <c r="C162">
        <f>C161*0.3</f>
        <v>48.9</v>
      </c>
      <c r="L162" t="s">
        <v>105</v>
      </c>
      <c r="M162">
        <f>M161*0.3</f>
        <v>98.1</v>
      </c>
      <c r="V162" t="s">
        <v>105</v>
      </c>
      <c r="W162">
        <f>W161*0.3</f>
        <v>167.68820224719101</v>
      </c>
      <c r="AF162" t="s">
        <v>105</v>
      </c>
      <c r="AG162">
        <f>AG161*0.3</f>
        <v>364.76676000000003</v>
      </c>
      <c r="AP162" t="s">
        <v>105</v>
      </c>
      <c r="AQ162">
        <f>AQ161*0.3</f>
        <v>723.6</v>
      </c>
    </row>
    <row r="164" spans="2:45">
      <c r="B164" s="31" t="s">
        <v>48</v>
      </c>
      <c r="L164" s="31" t="s">
        <v>48</v>
      </c>
      <c r="V164" s="31" t="s">
        <v>48</v>
      </c>
      <c r="AF164" s="31" t="s">
        <v>48</v>
      </c>
      <c r="AP164" s="31" t="s">
        <v>48</v>
      </c>
    </row>
    <row r="165" spans="2:45">
      <c r="B165" t="s">
        <v>283</v>
      </c>
      <c r="C165">
        <f>TREND($C$48:$C$49,C161:C162,$C$11,1)</f>
        <v>-1.74925764212011</v>
      </c>
      <c r="L165" t="s">
        <v>283</v>
      </c>
      <c r="M165">
        <f>TREND($C$48:$C$49,M161:M162,$C$11,1)</f>
        <v>8.7999949851423214</v>
      </c>
      <c r="V165" t="s">
        <v>283</v>
      </c>
      <c r="W165">
        <f>TREND($C$48:$C$49,W161:W162,$C$11,1)</f>
        <v>13.151089901758262</v>
      </c>
      <c r="AF165" t="s">
        <v>283</v>
      </c>
      <c r="AG165">
        <f>TREND($C$48:$C$49,AG161:AG162,$C$11,1)</f>
        <v>16.465117092829512</v>
      </c>
      <c r="AP165" t="s">
        <v>283</v>
      </c>
      <c r="AQ165">
        <f>TREND($C$48:$C$49,AQ161:AQ162,$C$11,1)</f>
        <v>17.863458793231629</v>
      </c>
    </row>
    <row r="166" spans="2:45">
      <c r="B166" t="s">
        <v>48</v>
      </c>
      <c r="C166" t="e">
        <f>SQRT($C$11/C165)</f>
        <v>#NUM!</v>
      </c>
      <c r="L166" t="s">
        <v>48</v>
      </c>
      <c r="M166">
        <f>SQRT($C$11/M165)</f>
        <v>8.2572305912228252</v>
      </c>
      <c r="V166" t="s">
        <v>48</v>
      </c>
      <c r="W166">
        <f>SQRT($C$11/W165)</f>
        <v>6.7545240423773114</v>
      </c>
      <c r="AF166" t="s">
        <v>48</v>
      </c>
      <c r="AG166">
        <f>SQRT($C$11/AG165)</f>
        <v>6.0366113147265521</v>
      </c>
      <c r="AP166" t="s">
        <v>48</v>
      </c>
      <c r="AQ166">
        <f>SQRT($C$11/AQ165)</f>
        <v>5.79552587229779</v>
      </c>
    </row>
    <row r="167" spans="2:45">
      <c r="B167" t="s">
        <v>284</v>
      </c>
      <c r="C167" s="31" t="str">
        <f>IFERROR(C166*$C$37,"")</f>
        <v/>
      </c>
      <c r="D167" t="s">
        <v>285</v>
      </c>
      <c r="L167" t="s">
        <v>284</v>
      </c>
      <c r="M167" s="31">
        <f>IFERROR(M166*$C$37,"")</f>
        <v>7.0186460025394011</v>
      </c>
      <c r="N167" t="s">
        <v>285</v>
      </c>
      <c r="V167" t="s">
        <v>284</v>
      </c>
      <c r="W167" s="31">
        <f>IFERROR(W166*$C$37,"")</f>
        <v>5.7413454360207146</v>
      </c>
      <c r="X167" t="s">
        <v>285</v>
      </c>
      <c r="AF167" t="s">
        <v>284</v>
      </c>
      <c r="AG167" s="31">
        <f>IFERROR(AG166*$C$37,"")</f>
        <v>5.1311196175175695</v>
      </c>
      <c r="AH167" t="s">
        <v>285</v>
      </c>
      <c r="AP167" t="s">
        <v>284</v>
      </c>
      <c r="AQ167" s="31">
        <f>IFERROR(AQ166*$C$37,"")</f>
        <v>4.9261969914531214</v>
      </c>
      <c r="AR167" t="s">
        <v>285</v>
      </c>
    </row>
    <row r="168" spans="2:45">
      <c r="C168" s="31"/>
      <c r="M168" s="31"/>
      <c r="W168" s="31"/>
      <c r="AG168" s="31"/>
      <c r="AQ168" s="31"/>
    </row>
    <row r="169" spans="2:45">
      <c r="B169" s="31" t="s">
        <v>47</v>
      </c>
      <c r="C169" s="31"/>
      <c r="L169" s="31" t="s">
        <v>47</v>
      </c>
      <c r="M169" s="31"/>
      <c r="V169" s="31" t="s">
        <v>47</v>
      </c>
      <c r="W169" s="31"/>
      <c r="AF169" s="31" t="s">
        <v>47</v>
      </c>
      <c r="AG169" s="31"/>
      <c r="AP169" s="31" t="s">
        <v>47</v>
      </c>
      <c r="AQ169" s="31"/>
    </row>
    <row r="170" spans="2:45">
      <c r="B170" t="s">
        <v>298</v>
      </c>
      <c r="C170" s="31">
        <f>TREND($C$58:$C$59,C161:C162,$C$13,1)</f>
        <v>-0.20749342681858041</v>
      </c>
      <c r="E170" s="31"/>
      <c r="L170" t="s">
        <v>298</v>
      </c>
      <c r="M170" s="31">
        <f>TREND($C$58:$C$59,M161:M162,$C$13,1)</f>
        <v>0.45183486238532133</v>
      </c>
      <c r="O170" s="31"/>
      <c r="V170" t="s">
        <v>298</v>
      </c>
      <c r="W170" s="31">
        <f>TREND($C$58:$C$59,W161:W162,$C$13,1)</f>
        <v>0.72377829467381716</v>
      </c>
      <c r="Y170" s="31"/>
      <c r="AF170" t="s">
        <v>298</v>
      </c>
      <c r="AG170" s="31">
        <f>TREND($C$58:$C$59,AG161:AG162,$C$13,1)</f>
        <v>0.93090499411577032</v>
      </c>
      <c r="AI170" s="31"/>
      <c r="AP170" t="s">
        <v>298</v>
      </c>
      <c r="AQ170" s="31">
        <f>TREND($C$58:$C$59,AQ161:AQ162,$C$13,1)</f>
        <v>1.0183013503909026</v>
      </c>
      <c r="AS170" s="31"/>
    </row>
    <row r="171" spans="2:45">
      <c r="B171" t="s">
        <v>299</v>
      </c>
      <c r="C171" s="31">
        <f>TREND($F$58:$F$59,C161:C162,$C$13,1)</f>
        <v>9.8299737072743216</v>
      </c>
      <c r="E171" s="31"/>
      <c r="L171" t="s">
        <v>299</v>
      </c>
      <c r="M171" s="31">
        <f>TREND($F$58:$F$59,M161:M162,$C$13,1)</f>
        <v>7.1926605504587151</v>
      </c>
      <c r="O171" s="31"/>
      <c r="V171" t="s">
        <v>299</v>
      </c>
      <c r="W171" s="31">
        <f>TREND($F$58:$F$59,W161:W162,$C$13,1)</f>
        <v>6.1048868213047314</v>
      </c>
      <c r="Y171" s="31"/>
      <c r="AF171" t="s">
        <v>299</v>
      </c>
      <c r="AG171" s="31">
        <f>TREND($F$58:$F$59,AG161:AG162,$C$13,1)</f>
        <v>5.2763800235369187</v>
      </c>
      <c r="AI171" s="31"/>
      <c r="AP171" t="s">
        <v>299</v>
      </c>
      <c r="AQ171" s="31">
        <f>TREND($F$58:$F$59,AQ161:AQ162,$C$13,1)</f>
        <v>4.9267945984363894</v>
      </c>
      <c r="AS171" s="31"/>
    </row>
    <row r="173" spans="2:45">
      <c r="B173" t="s">
        <v>302</v>
      </c>
      <c r="C173" t="e">
        <f>SQRT($C$13/C170)*SQRT(2.7/$C$15)</f>
        <v>#NUM!</v>
      </c>
      <c r="L173" t="s">
        <v>302</v>
      </c>
      <c r="M173">
        <f>SQRT($C$13/M170)*SQRT(2.7/$C$15)</f>
        <v>24.445110999474913</v>
      </c>
      <c r="V173" t="s">
        <v>302</v>
      </c>
      <c r="W173">
        <f>SQRT($C$13/W170)*SQRT(2.7/$C$15)</f>
        <v>19.314305861121301</v>
      </c>
      <c r="AF173" t="s">
        <v>302</v>
      </c>
      <c r="AG173">
        <f>SQRT($C$13/AG170)*SQRT(2.7/$C$15)</f>
        <v>17.030570716351921</v>
      </c>
      <c r="AP173" t="s">
        <v>302</v>
      </c>
      <c r="AQ173">
        <f>SQRT($C$13/AQ170)*SQRT(2.7/$C$15)</f>
        <v>16.28334866442091</v>
      </c>
    </row>
    <row r="174" spans="2:45">
      <c r="B174" t="s">
        <v>303</v>
      </c>
      <c r="C174">
        <f>C171*$C$15</f>
        <v>58.979842243645933</v>
      </c>
      <c r="L174" t="s">
        <v>303</v>
      </c>
      <c r="M174">
        <f>M171*$C$15</f>
        <v>43.155963302752291</v>
      </c>
      <c r="V174" t="s">
        <v>303</v>
      </c>
      <c r="W174">
        <f>W171*$C$15</f>
        <v>36.629320927828388</v>
      </c>
      <c r="AF174" t="s">
        <v>303</v>
      </c>
      <c r="AG174">
        <f>AG171*$C$15</f>
        <v>31.65828014122151</v>
      </c>
      <c r="AP174" t="s">
        <v>303</v>
      </c>
      <c r="AQ174">
        <f>AQ171*$C$15</f>
        <v>29.560767590618337</v>
      </c>
    </row>
    <row r="175" spans="2:45">
      <c r="B175" t="s">
        <v>47</v>
      </c>
      <c r="C175" s="31">
        <f>IFERROR(MIN(C173,C174),C174)*$C$38*SQRT(12/$C$16)</f>
        <v>47.183873794916749</v>
      </c>
      <c r="D175" t="s">
        <v>320</v>
      </c>
      <c r="L175" t="s">
        <v>47</v>
      </c>
      <c r="M175" s="31">
        <f>IFERROR(MIN(M173,M174),M174)*$C$38*SQRT(12/$C$16)</f>
        <v>19.556088799579932</v>
      </c>
      <c r="V175" t="s">
        <v>47</v>
      </c>
      <c r="W175" s="31">
        <f>IFERROR(MIN(W173,W174),W174)*$C$38*SQRT(12/$C$16)</f>
        <v>15.451444688897041</v>
      </c>
      <c r="AF175" t="s">
        <v>47</v>
      </c>
      <c r="AG175" s="31">
        <f>IFERROR(MIN(AG173,AG174),AG174)*$C$38*SQRT(12/$C$16)</f>
        <v>13.624456573081538</v>
      </c>
      <c r="AP175" t="s">
        <v>47</v>
      </c>
      <c r="AQ175" s="31">
        <f>IFERROR(MIN(AQ173,AQ174),AQ174)*$C$38*SQRT(12/$C$16)</f>
        <v>13.026678931536729</v>
      </c>
    </row>
    <row r="177" spans="2:53">
      <c r="B177" s="31" t="s">
        <v>329</v>
      </c>
      <c r="L177" s="31" t="s">
        <v>329</v>
      </c>
      <c r="V177" s="31" t="s">
        <v>329</v>
      </c>
      <c r="AF177" s="31" t="s">
        <v>329</v>
      </c>
      <c r="AP177" s="31" t="s">
        <v>329</v>
      </c>
    </row>
    <row r="178" spans="2:53">
      <c r="B178" s="281"/>
      <c r="C178" s="281"/>
      <c r="D178" s="281"/>
      <c r="L178" s="281"/>
      <c r="M178" s="281"/>
      <c r="N178" s="281"/>
      <c r="V178" s="281"/>
      <c r="W178" s="281"/>
      <c r="X178" s="281"/>
      <c r="AF178" s="281"/>
      <c r="AG178" s="281"/>
      <c r="AH178" s="281"/>
      <c r="AP178" s="281"/>
      <c r="AQ178" s="281"/>
      <c r="AR178" s="281"/>
    </row>
    <row r="179" spans="2:53">
      <c r="B179" s="286" t="s">
        <v>310</v>
      </c>
      <c r="C179" s="309">
        <f>$C$209</f>
        <v>10.05929664298667</v>
      </c>
      <c r="D179" s="286"/>
      <c r="L179" s="286" t="s">
        <v>310</v>
      </c>
      <c r="M179" s="309">
        <f>$C$209</f>
        <v>10.05929664298667</v>
      </c>
      <c r="N179" s="286"/>
      <c r="V179" s="286" t="s">
        <v>310</v>
      </c>
      <c r="W179" s="309">
        <f>$C$209</f>
        <v>10.05929664298667</v>
      </c>
      <c r="X179" s="286"/>
      <c r="AF179" s="286" t="s">
        <v>310</v>
      </c>
      <c r="AG179" s="309">
        <f>$C$209</f>
        <v>10.05929664298667</v>
      </c>
      <c r="AH179" s="286"/>
      <c r="AP179" s="286" t="s">
        <v>310</v>
      </c>
      <c r="AQ179" s="309">
        <f>$C$209</f>
        <v>10.05929664298667</v>
      </c>
      <c r="AR179" s="286"/>
    </row>
    <row r="180" spans="2:53">
      <c r="B180" s="286" t="s">
        <v>311</v>
      </c>
      <c r="C180" s="286">
        <f>SQRT($C$11/$C$63)</f>
        <v>7.745966692414834</v>
      </c>
      <c r="D180" s="286"/>
      <c r="L180" s="286" t="s">
        <v>311</v>
      </c>
      <c r="M180" s="286">
        <f>SQRT($C$11/$C$63)</f>
        <v>7.745966692414834</v>
      </c>
      <c r="N180" s="286"/>
      <c r="V180" s="286" t="s">
        <v>311</v>
      </c>
      <c r="W180" s="286">
        <f>SQRT($C$11/$C$63)</f>
        <v>7.745966692414834</v>
      </c>
      <c r="X180" s="286"/>
      <c r="AF180" s="286" t="s">
        <v>311</v>
      </c>
      <c r="AG180" s="286">
        <f>SQRT($C$11/$C$63)</f>
        <v>7.745966692414834</v>
      </c>
      <c r="AH180" s="286"/>
      <c r="AP180" s="286" t="s">
        <v>311</v>
      </c>
      <c r="AQ180" s="286">
        <f>SQRT($C$11/$C$63)</f>
        <v>7.745966692414834</v>
      </c>
      <c r="AR180" s="286"/>
    </row>
    <row r="181" spans="2:53">
      <c r="B181" s="286" t="s">
        <v>312</v>
      </c>
      <c r="C181" s="286">
        <f>IF($C$61=1,C179,IF($C$61=2,$C$62,C180))</f>
        <v>10.05929664298667</v>
      </c>
      <c r="D181" s="286"/>
      <c r="L181" s="286" t="s">
        <v>312</v>
      </c>
      <c r="M181" s="286">
        <f>IF($C$61=1,M179,IF($C$61=2,$C$62,M180))</f>
        <v>10.05929664298667</v>
      </c>
      <c r="N181" s="286"/>
      <c r="V181" s="286" t="s">
        <v>312</v>
      </c>
      <c r="W181" s="286">
        <f>IF($C$61=1,W179,IF($C$61=2,$C$62,W180))</f>
        <v>10.05929664298667</v>
      </c>
      <c r="X181" s="286"/>
      <c r="AF181" s="286" t="s">
        <v>312</v>
      </c>
      <c r="AG181" s="286">
        <f>IF($C$61=1,AG179,IF($C$61=2,$C$62,AG180))</f>
        <v>10.05929664298667</v>
      </c>
      <c r="AH181" s="286"/>
      <c r="AP181" s="286" t="s">
        <v>312</v>
      </c>
      <c r="AQ181" s="286">
        <f>IF($C$61=1,AQ179,IF($C$61=2,$C$62,AQ180))</f>
        <v>10.05929664298667</v>
      </c>
      <c r="AR181" s="286"/>
    </row>
    <row r="182" spans="2:53">
      <c r="B182" s="286" t="s">
        <v>104</v>
      </c>
      <c r="C182" s="286">
        <f>C181^2</f>
        <v>101.18944895160288</v>
      </c>
      <c r="D182" s="286"/>
      <c r="L182" s="286" t="s">
        <v>104</v>
      </c>
      <c r="M182" s="286">
        <f>M181^2</f>
        <v>101.18944895160288</v>
      </c>
      <c r="N182" s="286"/>
      <c r="V182" s="286" t="s">
        <v>104</v>
      </c>
      <c r="W182" s="286">
        <f>W181^2</f>
        <v>101.18944895160288</v>
      </c>
      <c r="X182" s="286"/>
      <c r="AF182" s="286" t="s">
        <v>104</v>
      </c>
      <c r="AG182" s="286">
        <f>AG181^2</f>
        <v>101.18944895160288</v>
      </c>
      <c r="AH182" s="286"/>
      <c r="AP182" s="286" t="s">
        <v>104</v>
      </c>
      <c r="AQ182" s="286">
        <f>AQ181^2</f>
        <v>101.18944895160288</v>
      </c>
      <c r="AR182" s="286"/>
    </row>
    <row r="183" spans="2:53">
      <c r="B183" s="286" t="s">
        <v>313</v>
      </c>
      <c r="C183" s="286">
        <f>IF($C$61=3,$C$63,$C$11/C182)</f>
        <v>5.9294719579604527</v>
      </c>
      <c r="D183" s="286"/>
      <c r="L183" s="286" t="s">
        <v>313</v>
      </c>
      <c r="M183" s="286">
        <f>IF($C$61=3,$C$63,$C$11/M182)</f>
        <v>5.9294719579604527</v>
      </c>
      <c r="N183" s="286"/>
      <c r="V183" s="286" t="s">
        <v>313</v>
      </c>
      <c r="W183" s="286">
        <f>IF($C$61=3,$C$63,$C$11/W182)</f>
        <v>5.9294719579604527</v>
      </c>
      <c r="X183" s="286"/>
      <c r="AF183" s="286" t="s">
        <v>313</v>
      </c>
      <c r="AG183" s="286">
        <f>IF($C$61=3,$C$63,$C$11/AG182)</f>
        <v>5.9294719579604527</v>
      </c>
      <c r="AH183" s="286"/>
      <c r="AP183" s="286" t="s">
        <v>313</v>
      </c>
      <c r="AQ183" s="286">
        <f>IF($C$61=3,$C$63,$C$11/AQ182)</f>
        <v>5.9294719579604527</v>
      </c>
      <c r="AR183" s="286"/>
    </row>
    <row r="184" spans="2:53">
      <c r="B184" s="286" t="s">
        <v>314</v>
      </c>
      <c r="C184" s="286">
        <f>C183*$C$16</f>
        <v>71.153663495525436</v>
      </c>
      <c r="D184" s="286" t="s">
        <v>64</v>
      </c>
      <c r="E184" t="s">
        <v>89</v>
      </c>
      <c r="L184" s="286" t="s">
        <v>314</v>
      </c>
      <c r="M184" s="286">
        <f>M183*$C$16</f>
        <v>71.153663495525436</v>
      </c>
      <c r="N184" s="286" t="s">
        <v>64</v>
      </c>
      <c r="O184" t="s">
        <v>89</v>
      </c>
      <c r="V184" s="286" t="s">
        <v>314</v>
      </c>
      <c r="W184" s="286">
        <f>W183*$C$16</f>
        <v>71.153663495525436</v>
      </c>
      <c r="X184" s="286" t="s">
        <v>64</v>
      </c>
      <c r="Y184" t="s">
        <v>89</v>
      </c>
      <c r="AF184" s="286" t="s">
        <v>314</v>
      </c>
      <c r="AG184" s="286">
        <f>AG183*$C$16</f>
        <v>71.153663495525436</v>
      </c>
      <c r="AH184" s="286" t="s">
        <v>64</v>
      </c>
      <c r="AI184" t="s">
        <v>89</v>
      </c>
      <c r="AP184" s="286" t="s">
        <v>314</v>
      </c>
      <c r="AQ184" s="286">
        <f>AQ183*$C$16</f>
        <v>71.153663495525436</v>
      </c>
      <c r="AR184" s="286" t="s">
        <v>64</v>
      </c>
      <c r="AS184" t="s">
        <v>89</v>
      </c>
    </row>
    <row r="185" spans="2:53">
      <c r="B185" s="286" t="s">
        <v>331</v>
      </c>
      <c r="C185" s="286">
        <f>(C161-$C$11)/(C161-C162)*(C183/$C$50)</f>
        <v>-5.6774304242522309</v>
      </c>
      <c r="D185" s="286"/>
      <c r="L185" s="286" t="s">
        <v>331</v>
      </c>
      <c r="M185" s="286">
        <f t="shared" ref="M185" si="51">(M161-$C$11)/(M161-M162)*(M183/$C$50)</f>
        <v>-1.7679618223276579</v>
      </c>
      <c r="N185" s="286"/>
      <c r="V185" s="286" t="s">
        <v>331</v>
      </c>
      <c r="W185" s="286">
        <f t="shared" ref="W185" si="52">(W161-$C$11)/(W161-W162)*(W183/$C$50)</f>
        <v>-0.15548086642150385</v>
      </c>
      <c r="X185" s="286"/>
      <c r="AF185" s="286" t="s">
        <v>331</v>
      </c>
      <c r="AG185" s="286">
        <f t="shared" ref="AG185" si="53">(AG161-$C$11)/(AG161-AG162)*(AG183/$C$50)</f>
        <v>1.0726710896644602</v>
      </c>
      <c r="AH185" s="286"/>
      <c r="AP185" s="286" t="s">
        <v>331</v>
      </c>
      <c r="AQ185" s="286">
        <f t="shared" ref="AQ185" si="54">(AQ161-$C$11)/(AQ161-AQ162)*(AQ183/$C$50)</f>
        <v>1.5908853334257789</v>
      </c>
      <c r="AR185" s="286"/>
    </row>
    <row r="186" spans="2:53">
      <c r="B186" s="286" t="s">
        <v>333</v>
      </c>
      <c r="C186" s="286">
        <f>C183-C185</f>
        <v>11.606902382212684</v>
      </c>
      <c r="D186" s="286"/>
      <c r="L186" s="286" t="s">
        <v>333</v>
      </c>
      <c r="M186" s="286">
        <f t="shared" ref="M186" si="55">M183-M185</f>
        <v>7.6974337802881108</v>
      </c>
      <c r="N186" s="286"/>
      <c r="V186" s="286" t="s">
        <v>333</v>
      </c>
      <c r="W186" s="286">
        <f t="shared" ref="W186" si="56">W183-W185</f>
        <v>6.0849528243819568</v>
      </c>
      <c r="X186" s="286"/>
      <c r="AF186" s="286" t="s">
        <v>333</v>
      </c>
      <c r="AG186" s="286">
        <f t="shared" ref="AG186" si="57">AG183-AG185</f>
        <v>4.8568008682959922</v>
      </c>
      <c r="AH186" s="286"/>
      <c r="AP186" s="286" t="s">
        <v>333</v>
      </c>
      <c r="AQ186" s="286">
        <f t="shared" ref="AQ186" si="58">AQ183-AQ185</f>
        <v>4.338586624534674</v>
      </c>
      <c r="AR186" s="286"/>
    </row>
    <row r="187" spans="2:53">
      <c r="B187" s="286" t="s">
        <v>330</v>
      </c>
      <c r="C187" s="286">
        <f>C186*$C$16*$C$37^2</f>
        <v>100.63184365378397</v>
      </c>
      <c r="D187" s="286"/>
      <c r="L187" s="286" t="s">
        <v>330</v>
      </c>
      <c r="M187" s="286">
        <f t="shared" ref="M187" si="59">M186*$C$16*$C$37^2</f>
        <v>66.736750875097911</v>
      </c>
      <c r="N187" s="286"/>
      <c r="V187" s="286" t="s">
        <v>330</v>
      </c>
      <c r="W187" s="286">
        <f t="shared" ref="W187" si="60">W186*$C$16*$C$37^2</f>
        <v>52.75654098739156</v>
      </c>
      <c r="X187" s="286"/>
      <c r="AF187" s="286" t="s">
        <v>330</v>
      </c>
      <c r="AG187" s="286">
        <f t="shared" ref="AG187" si="61">AG186*$C$16*$C$37^2</f>
        <v>42.108463528126251</v>
      </c>
      <c r="AH187" s="286"/>
      <c r="AP187" s="286" t="s">
        <v>330</v>
      </c>
      <c r="AQ187" s="286">
        <f t="shared" ref="AQ187" si="62">AQ186*$C$16*$C$37^2</f>
        <v>37.615546034715621</v>
      </c>
      <c r="AR187" s="286"/>
      <c r="AZ187" s="286"/>
      <c r="BA187" s="286"/>
    </row>
    <row r="188" spans="2:53">
      <c r="B188" t="s">
        <v>85</v>
      </c>
      <c r="C188" s="305">
        <v>2.7</v>
      </c>
      <c r="D188" s="306">
        <v>2.4532000000000002E-2</v>
      </c>
      <c r="E188" s="306">
        <v>0.44066</v>
      </c>
      <c r="F188" s="34">
        <f>D188*C187^E188</f>
        <v>0.18717952908544333</v>
      </c>
      <c r="L188" t="s">
        <v>85</v>
      </c>
      <c r="M188" s="305">
        <v>2.7</v>
      </c>
      <c r="N188" s="306">
        <v>2.4532000000000002E-2</v>
      </c>
      <c r="O188" s="306">
        <v>0.44066</v>
      </c>
      <c r="P188" s="34">
        <f>N188*M187^O188</f>
        <v>0.15619159608157235</v>
      </c>
      <c r="V188" t="s">
        <v>85</v>
      </c>
      <c r="W188" s="305">
        <v>2.7</v>
      </c>
      <c r="X188" s="306">
        <v>2.4532000000000002E-2</v>
      </c>
      <c r="Y188" s="306">
        <v>0.44066</v>
      </c>
      <c r="Z188" s="34">
        <f>X188*W187^Y188</f>
        <v>0.14082223609098454</v>
      </c>
      <c r="AF188" t="s">
        <v>85</v>
      </c>
      <c r="AG188" s="305">
        <v>2.7</v>
      </c>
      <c r="AH188" s="306">
        <v>2.4532000000000002E-2</v>
      </c>
      <c r="AI188" s="306">
        <v>0.44066</v>
      </c>
      <c r="AJ188" s="34">
        <f>AH188*AG187^AI188</f>
        <v>0.12750510511062982</v>
      </c>
      <c r="AP188" t="s">
        <v>85</v>
      </c>
      <c r="AQ188" s="305">
        <v>2.7</v>
      </c>
      <c r="AR188" s="306">
        <v>2.4532000000000002E-2</v>
      </c>
      <c r="AS188" s="306">
        <v>0.44066</v>
      </c>
      <c r="AT188" s="34">
        <f>AR188*AQ187^AS188</f>
        <v>0.12132054190144874</v>
      </c>
    </row>
    <row r="189" spans="2:53">
      <c r="C189" s="305">
        <v>4</v>
      </c>
      <c r="D189" s="306">
        <v>2.5090000000000001E-2</v>
      </c>
      <c r="E189" s="306">
        <v>0.44590999999999997</v>
      </c>
      <c r="F189" s="34">
        <f>D189*C187^E189</f>
        <v>0.19612836893867008</v>
      </c>
      <c r="M189" s="305">
        <v>4</v>
      </c>
      <c r="N189" s="306">
        <v>2.5090000000000001E-2</v>
      </c>
      <c r="O189" s="306">
        <v>0.44590999999999997</v>
      </c>
      <c r="P189" s="34">
        <f>N189*M187^O189</f>
        <v>0.16330642993229924</v>
      </c>
      <c r="W189" s="305">
        <v>4</v>
      </c>
      <c r="X189" s="306">
        <v>2.5090000000000001E-2</v>
      </c>
      <c r="Y189" s="306">
        <v>0.44590999999999997</v>
      </c>
      <c r="Z189" s="34">
        <f>X189*W187^Y189</f>
        <v>0.14705537130745586</v>
      </c>
      <c r="AG189" s="305">
        <v>4</v>
      </c>
      <c r="AH189" s="306">
        <v>2.5090000000000001E-2</v>
      </c>
      <c r="AI189" s="306">
        <v>0.44590999999999997</v>
      </c>
      <c r="AJ189" s="34">
        <f>AH189*AG187^AI189</f>
        <v>0.1329912959979106</v>
      </c>
      <c r="AQ189" s="305">
        <v>4</v>
      </c>
      <c r="AR189" s="306">
        <v>2.5090000000000001E-2</v>
      </c>
      <c r="AS189" s="306">
        <v>0.44590999999999997</v>
      </c>
      <c r="AT189" s="34">
        <f>AR189*AQ187^AS189</f>
        <v>0.12646569221644838</v>
      </c>
    </row>
    <row r="190" spans="2:53">
      <c r="C190" s="305">
        <v>10</v>
      </c>
      <c r="D190" s="306">
        <v>2.7927E-2</v>
      </c>
      <c r="E190" s="306">
        <v>0.43947999999999998</v>
      </c>
      <c r="F190" s="34">
        <f>D190*C187^E190</f>
        <v>0.21192707863697516</v>
      </c>
      <c r="M190" s="305">
        <v>10</v>
      </c>
      <c r="N190" s="306">
        <v>2.7927E-2</v>
      </c>
      <c r="O190" s="306">
        <v>0.43947999999999998</v>
      </c>
      <c r="P190" s="34">
        <f>N190*M187^O190</f>
        <v>0.17692786672300417</v>
      </c>
      <c r="W190" s="305">
        <v>10</v>
      </c>
      <c r="X190" s="306">
        <v>2.7927E-2</v>
      </c>
      <c r="Y190" s="306">
        <v>0.43947999999999998</v>
      </c>
      <c r="Z190" s="34">
        <f>X190*W187^Y190</f>
        <v>0.15956229679926048</v>
      </c>
      <c r="AG190" s="305">
        <v>10</v>
      </c>
      <c r="AH190" s="306">
        <v>2.7927E-2</v>
      </c>
      <c r="AI190" s="306">
        <v>0.43947999999999998</v>
      </c>
      <c r="AJ190" s="34">
        <f>AH190*AG187^AI190</f>
        <v>0.14451141274801771</v>
      </c>
      <c r="AQ190" s="305">
        <v>10</v>
      </c>
      <c r="AR190" s="306">
        <v>2.7927E-2</v>
      </c>
      <c r="AS190" s="306">
        <v>0.43947999999999998</v>
      </c>
      <c r="AT190" s="34">
        <f>AR190*AQ187^AS190</f>
        <v>0.13752027654290444</v>
      </c>
    </row>
    <row r="191" spans="2:53">
      <c r="C191" s="307">
        <v>30</v>
      </c>
      <c r="D191" s="308">
        <v>3.0254E-2</v>
      </c>
      <c r="E191" s="308">
        <v>0.442</v>
      </c>
      <c r="F191" s="34">
        <f>D191*C187^E191</f>
        <v>0.23226932741553794</v>
      </c>
      <c r="M191" s="307">
        <v>30</v>
      </c>
      <c r="N191" s="308">
        <v>3.0254E-2</v>
      </c>
      <c r="O191" s="308">
        <v>0.442</v>
      </c>
      <c r="P191" s="34">
        <f>N191*M187^O191</f>
        <v>0.19371005239668651</v>
      </c>
      <c r="W191" s="307">
        <v>30</v>
      </c>
      <c r="X191" s="308">
        <v>3.0254E-2</v>
      </c>
      <c r="Y191" s="308">
        <v>0.442</v>
      </c>
      <c r="Z191" s="34">
        <f>X191*W187^Y191</f>
        <v>0.17459384643837986</v>
      </c>
      <c r="AG191" s="307">
        <v>30</v>
      </c>
      <c r="AH191" s="308">
        <v>3.0254E-2</v>
      </c>
      <c r="AI191" s="308">
        <v>0.442</v>
      </c>
      <c r="AJ191" s="34">
        <f>AH191*AG187^AI191</f>
        <v>0.15803528906284819</v>
      </c>
      <c r="AQ191" s="307">
        <v>30</v>
      </c>
      <c r="AR191" s="308">
        <v>3.0254E-2</v>
      </c>
      <c r="AS191" s="308">
        <v>0.442</v>
      </c>
      <c r="AT191" s="34">
        <f>AR191*AQ187^AS191</f>
        <v>0.15034714319836903</v>
      </c>
    </row>
    <row r="192" spans="2:53">
      <c r="B192" t="s">
        <v>87</v>
      </c>
      <c r="D192" t="s">
        <v>264</v>
      </c>
      <c r="E192" s="51" t="s">
        <v>61</v>
      </c>
      <c r="F192" s="242"/>
      <c r="G192" t="s">
        <v>84</v>
      </c>
      <c r="L192" t="s">
        <v>87</v>
      </c>
      <c r="N192" t="s">
        <v>264</v>
      </c>
      <c r="O192" s="51" t="s">
        <v>61</v>
      </c>
      <c r="P192" s="242"/>
      <c r="Q192" t="s">
        <v>84</v>
      </c>
      <c r="V192" t="s">
        <v>87</v>
      </c>
      <c r="X192" t="s">
        <v>264</v>
      </c>
      <c r="Y192" s="51" t="s">
        <v>61</v>
      </c>
      <c r="Z192" s="242"/>
      <c r="AA192" t="s">
        <v>84</v>
      </c>
      <c r="AF192" t="s">
        <v>87</v>
      </c>
      <c r="AH192" t="s">
        <v>264</v>
      </c>
      <c r="AI192" s="51" t="s">
        <v>61</v>
      </c>
      <c r="AJ192" s="242"/>
      <c r="AK192" t="s">
        <v>84</v>
      </c>
      <c r="AP192" t="s">
        <v>87</v>
      </c>
      <c r="AR192" t="s">
        <v>264</v>
      </c>
      <c r="AS192" s="51" t="s">
        <v>61</v>
      </c>
      <c r="AT192" s="242"/>
      <c r="AU192" t="s">
        <v>84</v>
      </c>
    </row>
    <row r="193" spans="2:46">
      <c r="C193">
        <f>$B$47</f>
        <v>6</v>
      </c>
      <c r="D193">
        <f>EXP(INDEX(LINEST(LN(F188:F191),LN(C188:C191),,),1,2))</f>
        <v>0.1725622252495187</v>
      </c>
      <c r="E193" s="51">
        <f>INDEX(LINEST(LN(F188:F191),LN(C188:C191),,),1)</f>
        <v>8.8075825802640201E-2</v>
      </c>
      <c r="F193">
        <f>MAX(D193*C193^E193, 0.05)</f>
        <v>0.20206078993530091</v>
      </c>
      <c r="M193">
        <f>$B$47</f>
        <v>6</v>
      </c>
      <c r="N193">
        <f>EXP(INDEX(LINEST(LN(P188:P191),LN(M188:M191),,),1,2))</f>
        <v>0.14385133460767832</v>
      </c>
      <c r="O193" s="51">
        <f>INDEX(LINEST(LN(P188:P191),LN(M188:M191),,),1)</f>
        <v>8.8292206605880066E-2</v>
      </c>
      <c r="P193">
        <f>MAX(N193*M193^O193, 0.05)</f>
        <v>0.16850724821379665</v>
      </c>
      <c r="W193">
        <f>$B$47</f>
        <v>6</v>
      </c>
      <c r="X193">
        <f>EXP(INDEX(LINEST(LN(Z188:Z191),LN(W188:W191),,),1,2))</f>
        <v>0.12962259272260959</v>
      </c>
      <c r="Y193" s="51">
        <f>INDEX(LINEST(LN(Z188:Z191),LN(W188:W191),,),1)</f>
        <v>8.8416050295688928E-2</v>
      </c>
      <c r="Z193">
        <f>MAX(X193*W193^Y193, 0.05)</f>
        <v>0.1518734169456642</v>
      </c>
      <c r="AG193">
        <f>$B$47</f>
        <v>6</v>
      </c>
      <c r="AH193">
        <f>EXP(INDEX(LINEST(LN(AJ188:AJ191),LN(AG188:AG191),,),1,2))</f>
        <v>0.11730064087244969</v>
      </c>
      <c r="AI193" s="51">
        <f>INDEX(LINEST(LN(AJ188:AJ191),LN(AG188:AG191),,),1)</f>
        <v>8.8534821017062365E-2</v>
      </c>
      <c r="AJ193">
        <f>MAX(AH193*AG193^AI193, 0.05)</f>
        <v>0.13746554763987573</v>
      </c>
      <c r="AQ193">
        <f>$B$47</f>
        <v>6</v>
      </c>
      <c r="AR193">
        <f>EXP(INDEX(LINEST(LN(AT188:AT191),LN(AQ188:AQ191),,),1,2))</f>
        <v>0.11158060377483665</v>
      </c>
      <c r="AS193" s="51">
        <f>INDEX(LINEST(LN(AT188:AT191),LN(AQ188:AQ191),,),1)</f>
        <v>8.8594265292415375E-2</v>
      </c>
      <c r="AT193">
        <f>MAX(AR193*AQ193^AS193, 0.05)</f>
        <v>0.13077611918267668</v>
      </c>
    </row>
    <row r="194" spans="2:46">
      <c r="B194" t="s">
        <v>77</v>
      </c>
      <c r="C194" s="48">
        <f>(34-$C$21)*(F193-0.05)^0.62*(0.37*F193*40+3.14)/100</f>
        <v>0.20976800614714705</v>
      </c>
      <c r="L194" t="s">
        <v>77</v>
      </c>
      <c r="M194" s="48">
        <f>(34-$C$21)*(P193-0.05)^0.62*(0.37*P193*40+3.14)/100</f>
        <v>0.1651673597429241</v>
      </c>
      <c r="V194" t="s">
        <v>77</v>
      </c>
      <c r="W194" s="48">
        <f>(34-$C$21)*(Z193-0.05)^0.62*(0.37*Z193*40+3.14)/100</f>
        <v>0.14381228061084747</v>
      </c>
      <c r="AF194" t="s">
        <v>77</v>
      </c>
      <c r="AG194" s="48">
        <f>(34-$C$21)*(AJ193-0.05)^0.62*(0.37*AJ193*40+3.14)/100</f>
        <v>0.1256606200025619</v>
      </c>
      <c r="AP194" t="s">
        <v>77</v>
      </c>
      <c r="AQ194" s="48">
        <f>(34-$C$21)*(AT193-0.05)^0.62*(0.37*AT193*40+3.14)/100</f>
        <v>0.11732371808857341</v>
      </c>
    </row>
    <row r="195" spans="2:46">
      <c r="B195" t="s">
        <v>50</v>
      </c>
      <c r="C195" s="46">
        <f>0.5*C194^2+0.25*C194+0.03</f>
        <v>0.10444330973826152</v>
      </c>
      <c r="L195" t="s">
        <v>50</v>
      </c>
      <c r="M195" s="46">
        <f>0.5*M194^2+0.25*M194+0.03</f>
        <v>8.4931968297955268E-2</v>
      </c>
      <c r="V195" t="s">
        <v>50</v>
      </c>
      <c r="W195" s="46">
        <f>0.5*W194^2+0.25*W194+0.03</f>
        <v>7.6294056179958436E-2</v>
      </c>
      <c r="AF195" t="s">
        <v>50</v>
      </c>
      <c r="AG195" s="46">
        <f>0.5*AG194^2+0.25*AG194+0.03</f>
        <v>6.9310450710354604E-2</v>
      </c>
      <c r="AP195" t="s">
        <v>50</v>
      </c>
      <c r="AQ195" s="46">
        <f>0.5*AQ194^2+0.25*AQ194+0.03</f>
        <v>6.6213356935206871E-2</v>
      </c>
    </row>
    <row r="196" spans="2:46">
      <c r="B196" t="s">
        <v>86</v>
      </c>
      <c r="C196" s="46" t="str">
        <f>IF(C194&lt;10%,"A",IF(C194&lt;20%,"B",IF(C194&lt;30,"C","-")))</f>
        <v>C</v>
      </c>
      <c r="L196" t="s">
        <v>86</v>
      </c>
      <c r="M196" s="46" t="str">
        <f>IF(M194&lt;10%,"A",IF(M194&lt;20%,"B",IF(M194&lt;30,"C","-")))</f>
        <v>B</v>
      </c>
      <c r="V196" t="s">
        <v>86</v>
      </c>
      <c r="W196" s="46" t="str">
        <f>IF(W194&lt;10%,"A",IF(W194&lt;20%,"B",IF(W194&lt;30,"C","-")))</f>
        <v>B</v>
      </c>
      <c r="AF196" t="s">
        <v>86</v>
      </c>
      <c r="AG196" s="46" t="str">
        <f>IF(AG194&lt;10%,"A",IF(AG194&lt;20%,"B",IF(AG194&lt;30,"C","-")))</f>
        <v>B</v>
      </c>
      <c r="AP196" t="s">
        <v>86</v>
      </c>
      <c r="AQ196" s="46" t="str">
        <f>IF(AQ194&lt;10%,"A",IF(AQ194&lt;20%,"B",IF(AQ194&lt;30,"C","-")))</f>
        <v>B</v>
      </c>
    </row>
    <row r="197" spans="2:46">
      <c r="B197" t="s">
        <v>288</v>
      </c>
      <c r="C197" s="82">
        <f>ABS(0.4527*LN(C194)+1.2387)</f>
        <v>0.53169437544889253</v>
      </c>
      <c r="L197" t="s">
        <v>288</v>
      </c>
      <c r="M197" s="82">
        <f>ABS(0.4527*LN(M194)+1.2387)</f>
        <v>0.42347964280285</v>
      </c>
      <c r="V197" t="s">
        <v>288</v>
      </c>
      <c r="W197" s="82">
        <f>ABS(0.4527*LN(W194)+1.2387)</f>
        <v>0.36080313810144882</v>
      </c>
      <c r="AF197" t="s">
        <v>288</v>
      </c>
      <c r="AG197" s="82">
        <f>ABS(0.4527*LN(AG194)+1.2387)</f>
        <v>0.2997230155325975</v>
      </c>
      <c r="AP197" t="s">
        <v>288</v>
      </c>
      <c r="AQ197" s="82">
        <f>ABS(0.4527*LN(AQ194)+1.2387)</f>
        <v>0.26864613588902619</v>
      </c>
    </row>
    <row r="198" spans="2:46">
      <c r="C198" s="46"/>
      <c r="M198" s="46"/>
      <c r="W198" s="46"/>
      <c r="AG198" s="46"/>
      <c r="AQ198" s="46"/>
    </row>
    <row r="199" spans="2:46">
      <c r="B199" s="31" t="s">
        <v>315</v>
      </c>
      <c r="C199" s="82">
        <f>C183</f>
        <v>5.9294719579604527</v>
      </c>
      <c r="L199" s="31" t="s">
        <v>315</v>
      </c>
      <c r="M199" s="82">
        <f>M183</f>
        <v>5.9294719579604527</v>
      </c>
      <c r="V199" s="31" t="s">
        <v>315</v>
      </c>
      <c r="W199" s="82">
        <f>W183</f>
        <v>5.9294719579604527</v>
      </c>
      <c r="AF199" s="31" t="s">
        <v>315</v>
      </c>
      <c r="AG199" s="82">
        <f>AG183</f>
        <v>5.9294719579604527</v>
      </c>
      <c r="AP199" s="31" t="s">
        <v>315</v>
      </c>
      <c r="AQ199" s="82">
        <f>AQ183</f>
        <v>5.9294719579604527</v>
      </c>
    </row>
    <row r="200" spans="2:46">
      <c r="B200" t="s">
        <v>316</v>
      </c>
      <c r="C200" s="82">
        <f>IF($C$61=3,C180,C181)</f>
        <v>10.05929664298667</v>
      </c>
      <c r="L200" t="s">
        <v>316</v>
      </c>
      <c r="M200" s="82">
        <f>IF($C$61=3,M180,M181)</f>
        <v>10.05929664298667</v>
      </c>
      <c r="V200" t="s">
        <v>316</v>
      </c>
      <c r="W200" s="82">
        <f>IF($C$61=3,W180,W181)</f>
        <v>10.05929664298667</v>
      </c>
      <c r="AF200" t="s">
        <v>316</v>
      </c>
      <c r="AG200" s="82">
        <f>IF($C$61=3,AG180,AG181)</f>
        <v>10.05929664298667</v>
      </c>
      <c r="AP200" t="s">
        <v>316</v>
      </c>
      <c r="AQ200" s="82">
        <f>IF($C$61=3,AQ180,AQ181)</f>
        <v>10.05929664298667</v>
      </c>
    </row>
    <row r="201" spans="2:46">
      <c r="C201" s="46"/>
    </row>
    <row r="203" spans="2:46">
      <c r="B203" t="s">
        <v>339</v>
      </c>
      <c r="C203" s="35" t="s">
        <v>54</v>
      </c>
      <c r="D203" s="35" t="s">
        <v>25</v>
      </c>
      <c r="E203" s="35" t="s">
        <v>55</v>
      </c>
      <c r="F203" s="35" t="s">
        <v>36</v>
      </c>
      <c r="G203" s="35" t="s">
        <v>56</v>
      </c>
      <c r="H203" s="35" t="s">
        <v>38</v>
      </c>
      <c r="I203" s="35" t="s">
        <v>57</v>
      </c>
      <c r="J203" s="35" t="s">
        <v>39</v>
      </c>
      <c r="K203" s="44" t="s">
        <v>58</v>
      </c>
      <c r="L203" s="44" t="s">
        <v>53</v>
      </c>
      <c r="M203" s="35" t="s">
        <v>276</v>
      </c>
    </row>
    <row r="204" spans="2:46">
      <c r="B204" t="str">
        <f>B226</f>
        <v>Cmax</v>
      </c>
      <c r="C204">
        <f t="shared" ref="C204:M205" si="63">C226</f>
        <v>47.183873794916749</v>
      </c>
      <c r="D204">
        <f t="shared" si="63"/>
        <v>44.548822605965462</v>
      </c>
      <c r="E204">
        <f t="shared" si="63"/>
        <v>19.556088799579932</v>
      </c>
      <c r="F204">
        <f t="shared" si="63"/>
        <v>17.156986835774216</v>
      </c>
      <c r="G204">
        <f t="shared" si="63"/>
        <v>15.451444688897041</v>
      </c>
      <c r="H204">
        <f t="shared" si="63"/>
        <v>14.860680806238193</v>
      </c>
      <c r="I204">
        <f t="shared" si="63"/>
        <v>13.624456573081538</v>
      </c>
      <c r="J204">
        <f t="shared" si="63"/>
        <v>13.431209737877419</v>
      </c>
      <c r="K204">
        <f t="shared" si="63"/>
        <v>13.026678931536729</v>
      </c>
      <c r="L204">
        <f t="shared" si="63"/>
        <v>12.940546680719402</v>
      </c>
      <c r="M204">
        <f t="shared" si="63"/>
        <v>12.73644240776008</v>
      </c>
    </row>
    <row r="205" spans="2:46">
      <c r="B205" t="str">
        <f>B227</f>
        <v>Cmin</v>
      </c>
      <c r="C205" t="str">
        <f t="shared" si="63"/>
        <v/>
      </c>
      <c r="D205">
        <f t="shared" si="63"/>
        <v>31.154893440709795</v>
      </c>
      <c r="E205">
        <f t="shared" si="63"/>
        <v>7.0186460025394011</v>
      </c>
      <c r="F205">
        <f t="shared" si="63"/>
        <v>6.288208315088947</v>
      </c>
      <c r="G205">
        <f t="shared" si="63"/>
        <v>5.7413454360207146</v>
      </c>
      <c r="H205">
        <f t="shared" si="63"/>
        <v>5.5467327361649605</v>
      </c>
      <c r="I205">
        <f t="shared" si="63"/>
        <v>5.1311196175175695</v>
      </c>
      <c r="J205">
        <f t="shared" si="63"/>
        <v>5.0651499662113419</v>
      </c>
      <c r="K205">
        <f t="shared" si="63"/>
        <v>4.9261969914531214</v>
      </c>
      <c r="L205">
        <f t="shared" si="63"/>
        <v>4.8964630352336798</v>
      </c>
      <c r="M205">
        <f t="shared" si="63"/>
        <v>4.8257978926746343</v>
      </c>
    </row>
    <row r="206" spans="2:46">
      <c r="B206" t="s">
        <v>340</v>
      </c>
      <c r="C206" s="46" t="b">
        <f>AND(C214&gt;C217,C218&lt;$C$14)</f>
        <v>0</v>
      </c>
      <c r="D206" s="46" t="b">
        <f t="shared" ref="D206:M206" si="64">AND(D214&gt;D217,D218&lt;$C$14)</f>
        <v>0</v>
      </c>
      <c r="E206" s="46" t="b">
        <f t="shared" si="64"/>
        <v>0</v>
      </c>
      <c r="F206" s="46" t="b">
        <f t="shared" si="64"/>
        <v>0</v>
      </c>
      <c r="G206" s="46" t="b">
        <f t="shared" si="64"/>
        <v>1</v>
      </c>
      <c r="H206" s="46" t="b">
        <f t="shared" si="64"/>
        <v>1</v>
      </c>
      <c r="I206" s="46" t="b">
        <f t="shared" si="64"/>
        <v>1</v>
      </c>
      <c r="J206" s="46" t="b">
        <f t="shared" si="64"/>
        <v>0</v>
      </c>
      <c r="K206" s="46" t="b">
        <f t="shared" si="64"/>
        <v>0</v>
      </c>
      <c r="L206" s="46" t="b">
        <f t="shared" si="64"/>
        <v>0</v>
      </c>
      <c r="M206" s="46" t="b">
        <f t="shared" si="64"/>
        <v>0</v>
      </c>
    </row>
    <row r="207" spans="2:46">
      <c r="B207" t="s">
        <v>47</v>
      </c>
      <c r="C207" s="82" t="str">
        <f>IF(C206,C204,"")</f>
        <v/>
      </c>
      <c r="D207" s="82" t="str">
        <f t="shared" ref="D207:M207" si="65">IF(D206,D204,"")</f>
        <v/>
      </c>
      <c r="E207" s="82" t="str">
        <f t="shared" si="65"/>
        <v/>
      </c>
      <c r="F207" s="82" t="str">
        <f t="shared" si="65"/>
        <v/>
      </c>
      <c r="G207" s="82">
        <f t="shared" si="65"/>
        <v>15.451444688897041</v>
      </c>
      <c r="H207" s="82">
        <f t="shared" si="65"/>
        <v>14.860680806238193</v>
      </c>
      <c r="I207" s="82">
        <f t="shared" si="65"/>
        <v>13.624456573081538</v>
      </c>
      <c r="J207" s="82" t="str">
        <f t="shared" si="65"/>
        <v/>
      </c>
      <c r="K207" s="82" t="str">
        <f t="shared" si="65"/>
        <v/>
      </c>
      <c r="L207" s="82" t="str">
        <f t="shared" si="65"/>
        <v/>
      </c>
      <c r="M207" s="82" t="str">
        <f t="shared" si="65"/>
        <v/>
      </c>
    </row>
    <row r="208" spans="2:46">
      <c r="B208" t="s">
        <v>48</v>
      </c>
      <c r="C208" s="82" t="str">
        <f>IF(C206,C205,"")</f>
        <v/>
      </c>
      <c r="D208" s="82" t="str">
        <f t="shared" ref="D208:M208" si="66">IF(D206,D205,"")</f>
        <v/>
      </c>
      <c r="E208" s="82" t="str">
        <f t="shared" si="66"/>
        <v/>
      </c>
      <c r="F208" s="82" t="str">
        <f t="shared" si="66"/>
        <v/>
      </c>
      <c r="G208" s="82">
        <f t="shared" si="66"/>
        <v>5.7413454360207146</v>
      </c>
      <c r="H208" s="82">
        <f t="shared" si="66"/>
        <v>5.5467327361649605</v>
      </c>
      <c r="I208" s="82">
        <f t="shared" si="66"/>
        <v>5.1311196175175695</v>
      </c>
      <c r="J208" s="82" t="str">
        <f t="shared" si="66"/>
        <v/>
      </c>
      <c r="K208" s="82" t="str">
        <f t="shared" si="66"/>
        <v/>
      </c>
      <c r="L208" s="82" t="str">
        <f t="shared" si="66"/>
        <v/>
      </c>
      <c r="M208" s="82" t="str">
        <f t="shared" si="66"/>
        <v/>
      </c>
    </row>
    <row r="209" spans="2:13">
      <c r="B209" t="s">
        <v>341</v>
      </c>
      <c r="C209" s="82">
        <f>AVERAGE(AVERAGE(C207:M207),AVERAGE(C208:M208))</f>
        <v>10.05929664298667</v>
      </c>
      <c r="D209" t="s">
        <v>4</v>
      </c>
    </row>
    <row r="210" spans="2:13">
      <c r="C210" s="46"/>
    </row>
    <row r="211" spans="2:13">
      <c r="E211" s="51"/>
    </row>
    <row r="212" spans="2:13" ht="19.899999999999999" thickBot="1">
      <c r="B212" s="27" t="s">
        <v>40</v>
      </c>
    </row>
    <row r="213" spans="2:13" ht="14.65" thickTop="1">
      <c r="C213" s="35" t="s">
        <v>54</v>
      </c>
      <c r="D213" s="35" t="s">
        <v>25</v>
      </c>
      <c r="E213" s="35" t="s">
        <v>55</v>
      </c>
      <c r="F213" s="35" t="s">
        <v>36</v>
      </c>
      <c r="G213" s="35" t="s">
        <v>56</v>
      </c>
      <c r="H213" s="35" t="s">
        <v>38</v>
      </c>
      <c r="I213" s="35" t="s">
        <v>57</v>
      </c>
      <c r="J213" s="35" t="s">
        <v>39</v>
      </c>
      <c r="K213" s="44" t="s">
        <v>58</v>
      </c>
      <c r="L213" s="44" t="s">
        <v>53</v>
      </c>
      <c r="M213" s="35" t="s">
        <v>276</v>
      </c>
    </row>
    <row r="214" spans="2:13">
      <c r="B214" t="s">
        <v>41</v>
      </c>
      <c r="C214">
        <f>$C$11</f>
        <v>600</v>
      </c>
      <c r="D214">
        <f>$C$11</f>
        <v>600</v>
      </c>
      <c r="E214">
        <f t="shared" ref="E214:M214" si="67">$C$11</f>
        <v>600</v>
      </c>
      <c r="F214">
        <f t="shared" si="67"/>
        <v>600</v>
      </c>
      <c r="G214">
        <f t="shared" si="67"/>
        <v>600</v>
      </c>
      <c r="H214">
        <f t="shared" si="67"/>
        <v>600</v>
      </c>
      <c r="I214">
        <f t="shared" si="67"/>
        <v>600</v>
      </c>
      <c r="J214">
        <f t="shared" si="67"/>
        <v>600</v>
      </c>
      <c r="K214">
        <f t="shared" si="67"/>
        <v>600</v>
      </c>
      <c r="L214">
        <f t="shared" si="67"/>
        <v>600</v>
      </c>
      <c r="M214">
        <f t="shared" si="67"/>
        <v>600</v>
      </c>
    </row>
    <row r="215" spans="2:13">
      <c r="B215" t="s">
        <v>42</v>
      </c>
      <c r="C215">
        <f>C141</f>
        <v>178.55755374668414</v>
      </c>
      <c r="D215">
        <f>C75</f>
        <v>199.37101093188045</v>
      </c>
      <c r="E215">
        <f>M141</f>
        <v>358.21055260837863</v>
      </c>
      <c r="F215">
        <f>M75</f>
        <v>451.32338738425682</v>
      </c>
      <c r="G215">
        <f>W141</f>
        <v>660.55340435123026</v>
      </c>
      <c r="H215">
        <f>W75</f>
        <v>779.95692188735654</v>
      </c>
      <c r="I215">
        <f>AG141</f>
        <v>1331.9398845338208</v>
      </c>
      <c r="J215">
        <f>AG75</f>
        <v>1572.7051372936655</v>
      </c>
      <c r="K215">
        <f>AQ141</f>
        <v>2642.213617404921</v>
      </c>
      <c r="L215">
        <f>AQ75</f>
        <v>3119.8276875494253</v>
      </c>
      <c r="M215">
        <f>BA75</f>
        <v>5601.9625957637491</v>
      </c>
    </row>
    <row r="216" spans="2:13">
      <c r="B216" t="s">
        <v>106</v>
      </c>
      <c r="C216">
        <f>$C$13</f>
        <v>600</v>
      </c>
      <c r="D216">
        <f t="shared" ref="D216:M216" si="68">$C$13</f>
        <v>600</v>
      </c>
      <c r="E216">
        <f t="shared" si="68"/>
        <v>600</v>
      </c>
      <c r="F216">
        <f t="shared" si="68"/>
        <v>600</v>
      </c>
      <c r="G216">
        <f t="shared" si="68"/>
        <v>600</v>
      </c>
      <c r="H216">
        <f t="shared" si="68"/>
        <v>600</v>
      </c>
      <c r="I216">
        <f t="shared" si="68"/>
        <v>600</v>
      </c>
      <c r="J216">
        <f t="shared" si="68"/>
        <v>600</v>
      </c>
      <c r="K216">
        <f t="shared" si="68"/>
        <v>600</v>
      </c>
      <c r="L216">
        <f t="shared" si="68"/>
        <v>600</v>
      </c>
      <c r="M216">
        <f t="shared" si="68"/>
        <v>600</v>
      </c>
    </row>
    <row r="217" spans="2:13">
      <c r="B217" t="s">
        <v>348</v>
      </c>
      <c r="C217">
        <f>C142</f>
        <v>59.1</v>
      </c>
      <c r="D217">
        <f>C76</f>
        <v>84.4</v>
      </c>
      <c r="E217">
        <f>M142</f>
        <v>118.9</v>
      </c>
      <c r="F217">
        <f>M76</f>
        <v>169.6</v>
      </c>
      <c r="G217">
        <f>W142</f>
        <v>234.6</v>
      </c>
      <c r="H217">
        <f>W76</f>
        <v>335</v>
      </c>
      <c r="I217">
        <f>AG142</f>
        <v>471.8</v>
      </c>
      <c r="J217">
        <f>AG76</f>
        <v>672.6</v>
      </c>
      <c r="K217">
        <f>AQ142</f>
        <v>930.7</v>
      </c>
      <c r="L217">
        <f>AQ76</f>
        <v>1328.8</v>
      </c>
      <c r="M217">
        <f>BA76</f>
        <v>2385.9932800000001</v>
      </c>
    </row>
    <row r="218" spans="2:13">
      <c r="B218" t="s">
        <v>271</v>
      </c>
      <c r="C218">
        <f>C140</f>
        <v>585.97122438242832</v>
      </c>
      <c r="D218">
        <f>C74</f>
        <v>451.90258053683624</v>
      </c>
      <c r="E218">
        <f>M140</f>
        <v>145.82911225629374</v>
      </c>
      <c r="F218">
        <f>M74</f>
        <v>83.535153380529053</v>
      </c>
      <c r="G218">
        <f>W140</f>
        <v>43.784346981075252</v>
      </c>
      <c r="H218">
        <f>W74</f>
        <v>29.787502270145644</v>
      </c>
      <c r="I218">
        <f>AG140</f>
        <v>10.768755071013221</v>
      </c>
      <c r="J218">
        <f>AG74</f>
        <v>7.3262327347966609</v>
      </c>
      <c r="K218">
        <f>AQ140</f>
        <v>2.7365216863172033</v>
      </c>
      <c r="L218">
        <f>AQ74</f>
        <v>1.8617188918841041</v>
      </c>
      <c r="M218">
        <f>BA74</f>
        <v>0.57742410828041002</v>
      </c>
    </row>
    <row r="219" spans="2:13">
      <c r="B219" t="s">
        <v>43</v>
      </c>
      <c r="C219">
        <f>C137</f>
        <v>677.48127517031128</v>
      </c>
      <c r="D219">
        <f>C71</f>
        <v>543.4126313247192</v>
      </c>
      <c r="E219">
        <f>M137</f>
        <v>168.33599865331203</v>
      </c>
      <c r="F219">
        <f>M71</f>
        <v>106.04203977754736</v>
      </c>
      <c r="G219" s="34">
        <f>W137</f>
        <v>49.503725155317937</v>
      </c>
      <c r="H219">
        <f>W71</f>
        <v>35.506880444388329</v>
      </c>
      <c r="I219" s="34">
        <f>AG137</f>
        <v>12.175435470826864</v>
      </c>
      <c r="J219">
        <f>AG71</f>
        <v>8.7329131346103051</v>
      </c>
      <c r="K219" s="34">
        <f>AQ137</f>
        <v>3.0939828222073711</v>
      </c>
      <c r="L219">
        <f>AQ71</f>
        <v>2.2191800277742719</v>
      </c>
      <c r="M219">
        <f>BA71</f>
        <v>0.68829298248912263</v>
      </c>
    </row>
    <row r="220" spans="2:13">
      <c r="B220" t="s">
        <v>44</v>
      </c>
      <c r="C220">
        <f t="shared" ref="C220:K220" si="69">$C$14</f>
        <v>60</v>
      </c>
      <c r="D220">
        <f>$C$14</f>
        <v>60</v>
      </c>
      <c r="E220">
        <f t="shared" si="69"/>
        <v>60</v>
      </c>
      <c r="F220">
        <f t="shared" si="69"/>
        <v>60</v>
      </c>
      <c r="G220">
        <f t="shared" si="69"/>
        <v>60</v>
      </c>
      <c r="H220">
        <f t="shared" si="69"/>
        <v>60</v>
      </c>
      <c r="I220">
        <f t="shared" si="69"/>
        <v>60</v>
      </c>
      <c r="J220">
        <f t="shared" si="69"/>
        <v>60</v>
      </c>
      <c r="K220">
        <f t="shared" si="69"/>
        <v>60</v>
      </c>
      <c r="L220">
        <f>$C$14</f>
        <v>60</v>
      </c>
      <c r="M220">
        <f>$C$14</f>
        <v>60</v>
      </c>
    </row>
    <row r="221" spans="2:13">
      <c r="B221" t="s">
        <v>45</v>
      </c>
      <c r="C221" s="30">
        <f>C143</f>
        <v>86.1895157460131</v>
      </c>
      <c r="D221" s="30">
        <f>C77</f>
        <v>81.575058630981218</v>
      </c>
      <c r="E221" s="30">
        <f>M143</f>
        <v>70.338785654650522</v>
      </c>
      <c r="F221" s="30">
        <f>M77</f>
        <v>61.19301918837813</v>
      </c>
      <c r="G221" s="30">
        <f>W143</f>
        <v>51.333043021697023</v>
      </c>
      <c r="H221" s="30">
        <f>W77</f>
        <v>45.981391585491394</v>
      </c>
      <c r="I221" s="30">
        <f>AG143</f>
        <v>32.947462894001305</v>
      </c>
      <c r="J221" s="30">
        <f>AG77</f>
        <v>29.070295652007125</v>
      </c>
      <c r="K221" s="30">
        <f>AQ143</f>
        <v>16.366684113705144</v>
      </c>
      <c r="L221" s="30">
        <f>AQ77</f>
        <v>12.484518030839062</v>
      </c>
      <c r="M221" s="30">
        <f>BA77</f>
        <v>-2.1255373538486588</v>
      </c>
    </row>
    <row r="222" spans="2:13">
      <c r="B222" t="s">
        <v>46</v>
      </c>
      <c r="C222" s="52">
        <f>C151</f>
        <v>81.006510161469393</v>
      </c>
      <c r="D222" s="52">
        <f>C85</f>
        <v>56.796294328772881</v>
      </c>
      <c r="E222" s="52">
        <f>M151</f>
        <v>28.228606066022376</v>
      </c>
      <c r="F222" s="52">
        <f>M85</f>
        <v>19.836039660967703</v>
      </c>
      <c r="G222" s="52">
        <f>W151</f>
        <v>10.125813770183674</v>
      </c>
      <c r="H222" s="52">
        <f>W85</f>
        <v>7.0995367910966101</v>
      </c>
      <c r="I222" s="52">
        <f>AG151</f>
        <v>3.528575758252797</v>
      </c>
      <c r="J222" s="52">
        <f>AG85</f>
        <v>2.4795049576209629</v>
      </c>
      <c r="K222" s="52">
        <f>AQ151</f>
        <v>1.2611954843367388</v>
      </c>
      <c r="L222" s="52">
        <f>AQ85</f>
        <v>0.88744209888707626</v>
      </c>
      <c r="M222" s="30">
        <f>BA85</f>
        <v>0.36882948487973755</v>
      </c>
    </row>
    <row r="223" spans="2:13">
      <c r="B223" t="s">
        <v>239</v>
      </c>
      <c r="C223" s="82">
        <f>C312</f>
        <v>13.3</v>
      </c>
      <c r="D223" s="82">
        <f t="shared" ref="D223:M223" si="70">D312</f>
        <v>13.3</v>
      </c>
      <c r="E223" s="82">
        <f t="shared" si="70"/>
        <v>13.950000000000001</v>
      </c>
      <c r="F223" s="82">
        <f t="shared" si="70"/>
        <v>12.090000000000002</v>
      </c>
      <c r="G223" s="82">
        <f t="shared" si="70"/>
        <v>11.700000000000001</v>
      </c>
      <c r="H223" s="82">
        <f t="shared" si="70"/>
        <v>7.8000000000000007</v>
      </c>
      <c r="I223" s="82">
        <f t="shared" si="70"/>
        <v>-1.8250000000000002</v>
      </c>
      <c r="J223" s="82">
        <f t="shared" si="70"/>
        <v>-9.125</v>
      </c>
      <c r="K223" s="82">
        <f t="shared" si="70"/>
        <v>-25.5</v>
      </c>
      <c r="L223" s="82">
        <f t="shared" si="70"/>
        <v>-33.15</v>
      </c>
      <c r="M223" s="82">
        <f t="shared" si="70"/>
        <v>-58.055000000000007</v>
      </c>
    </row>
    <row r="224" spans="2:13">
      <c r="B224" t="s">
        <v>32</v>
      </c>
      <c r="C224">
        <f t="shared" ref="C224:L224" si="71">$C$17</f>
        <v>16</v>
      </c>
      <c r="D224">
        <f>$C$17</f>
        <v>16</v>
      </c>
      <c r="E224">
        <f t="shared" si="71"/>
        <v>16</v>
      </c>
      <c r="F224">
        <f t="shared" si="71"/>
        <v>16</v>
      </c>
      <c r="G224">
        <f t="shared" si="71"/>
        <v>16</v>
      </c>
      <c r="H224">
        <f t="shared" si="71"/>
        <v>16</v>
      </c>
      <c r="I224">
        <f t="shared" si="71"/>
        <v>16</v>
      </c>
      <c r="J224">
        <f t="shared" si="71"/>
        <v>16</v>
      </c>
      <c r="K224">
        <f t="shared" si="71"/>
        <v>16</v>
      </c>
      <c r="L224">
        <f t="shared" si="71"/>
        <v>16</v>
      </c>
    </row>
    <row r="225" spans="2:25">
      <c r="B225" t="s">
        <v>246</v>
      </c>
      <c r="C225" s="52">
        <f>C158</f>
        <v>2.75</v>
      </c>
      <c r="D225" s="52">
        <f>C92</f>
        <v>2.75</v>
      </c>
      <c r="E225" s="52">
        <f>M158</f>
        <v>2.75</v>
      </c>
      <c r="F225" s="52">
        <f>M92</f>
        <v>3.3000000000000003</v>
      </c>
      <c r="G225" s="52">
        <f>W158</f>
        <v>3.8500000000000005</v>
      </c>
      <c r="H225" s="52">
        <f>W92</f>
        <v>4.4000000000000004</v>
      </c>
      <c r="I225" s="52">
        <f>AG158</f>
        <v>4.95</v>
      </c>
      <c r="J225" s="52">
        <f>AG92</f>
        <v>5.5</v>
      </c>
      <c r="K225" s="52">
        <f>AQ158</f>
        <v>6.0500000000000007</v>
      </c>
      <c r="L225" s="52">
        <f>AQ92</f>
        <v>6.6000000000000005</v>
      </c>
      <c r="M225" s="52">
        <f>BA92</f>
        <v>7.15</v>
      </c>
    </row>
    <row r="226" spans="2:25">
      <c r="B226" t="s">
        <v>47</v>
      </c>
      <c r="C226">
        <f>$C$175</f>
        <v>47.183873794916749</v>
      </c>
      <c r="D226">
        <f>$C$109</f>
        <v>44.548822605965462</v>
      </c>
      <c r="E226">
        <f>$M$175</f>
        <v>19.556088799579932</v>
      </c>
      <c r="F226">
        <f>$M$109</f>
        <v>17.156986835774216</v>
      </c>
      <c r="G226">
        <f>$W$175</f>
        <v>15.451444688897041</v>
      </c>
      <c r="H226">
        <f>$W$109</f>
        <v>14.860680806238193</v>
      </c>
      <c r="I226">
        <f>$AG$175</f>
        <v>13.624456573081538</v>
      </c>
      <c r="J226">
        <f>$AG$109</f>
        <v>13.431209737877419</v>
      </c>
      <c r="K226">
        <f>$AQ$175</f>
        <v>13.026678931536729</v>
      </c>
      <c r="L226">
        <f>$AQ$109</f>
        <v>12.940546680719402</v>
      </c>
      <c r="M226">
        <f>$BA$109</f>
        <v>12.73644240776008</v>
      </c>
    </row>
    <row r="227" spans="2:25">
      <c r="B227" t="s">
        <v>48</v>
      </c>
      <c r="C227" t="str">
        <f>$C$167</f>
        <v/>
      </c>
      <c r="D227">
        <f>$C$101</f>
        <v>31.154893440709795</v>
      </c>
      <c r="E227">
        <f>$M$167</f>
        <v>7.0186460025394011</v>
      </c>
      <c r="F227">
        <f>$M$101</f>
        <v>6.288208315088947</v>
      </c>
      <c r="G227">
        <f>$W$167</f>
        <v>5.7413454360207146</v>
      </c>
      <c r="H227">
        <f>$W$101</f>
        <v>5.5467327361649605</v>
      </c>
      <c r="I227">
        <f>$AG$167</f>
        <v>5.1311196175175695</v>
      </c>
      <c r="J227">
        <f>$AG$101</f>
        <v>5.0651499662113419</v>
      </c>
      <c r="K227">
        <f>$AQ$167</f>
        <v>4.9261969914531214</v>
      </c>
      <c r="L227">
        <f>$AQ$101</f>
        <v>4.8964630352336798</v>
      </c>
      <c r="M227">
        <f>$BA$101</f>
        <v>4.8257978926746343</v>
      </c>
    </row>
    <row r="228" spans="2:25">
      <c r="B228" t="s">
        <v>83</v>
      </c>
      <c r="C228">
        <f>$F$193</f>
        <v>0.20206078993530091</v>
      </c>
      <c r="D228">
        <f>$F$127</f>
        <v>0.19567004622782422</v>
      </c>
      <c r="E228">
        <f>$P$193</f>
        <v>0.16850724821379665</v>
      </c>
      <c r="F228">
        <f>$P$127</f>
        <v>0.16050972826720425</v>
      </c>
      <c r="G228">
        <f>$Z$193</f>
        <v>0.1518734169456642</v>
      </c>
      <c r="H228">
        <f>$Z$127</f>
        <v>0.14797008427974329</v>
      </c>
      <c r="I228">
        <f>$AJ$193</f>
        <v>0.13746554763987573</v>
      </c>
      <c r="J228">
        <f>$AJ$127</f>
        <v>0.13544485851670043</v>
      </c>
      <c r="K228">
        <f>$AT$193</f>
        <v>0.13077611918267668</v>
      </c>
      <c r="L228">
        <f>$AT$127</f>
        <v>0.12969573177628821</v>
      </c>
      <c r="M228">
        <f>$BD$127</f>
        <v>0.12699824512437655</v>
      </c>
    </row>
    <row r="229" spans="2:25">
      <c r="B229" t="s">
        <v>49</v>
      </c>
      <c r="C229" s="49">
        <f>$C$194</f>
        <v>0.20976800614714705</v>
      </c>
      <c r="D229" s="49">
        <f>$C$128</f>
        <v>0.20110621004842349</v>
      </c>
      <c r="E229" s="49">
        <f>$M$194</f>
        <v>0.1651673597429241</v>
      </c>
      <c r="F229" s="49">
        <f>$M$128</f>
        <v>0.15484220735855339</v>
      </c>
      <c r="G229" s="49">
        <f>$W$194</f>
        <v>0.14381228061084747</v>
      </c>
      <c r="H229" s="49">
        <f>$W$128</f>
        <v>0.13886550225175667</v>
      </c>
      <c r="I229" s="49">
        <f>$AG$194</f>
        <v>0.1256606200025619</v>
      </c>
      <c r="J229" s="49">
        <f>$AG$128</f>
        <v>0.12313690105035428</v>
      </c>
      <c r="K229" s="49">
        <f>$AQ$194</f>
        <v>0.11732371808857341</v>
      </c>
      <c r="L229" s="49">
        <f>$AQ$128</f>
        <v>0.11598177533501954</v>
      </c>
      <c r="M229" s="49">
        <f>$BA$128</f>
        <v>0.11263611474463758</v>
      </c>
    </row>
    <row r="230" spans="2:25">
      <c r="B230" t="s">
        <v>50</v>
      </c>
      <c r="C230" s="49">
        <f>C195</f>
        <v>0.10444330973826152</v>
      </c>
      <c r="D230" s="49">
        <f>C129</f>
        <v>0.10049840637212619</v>
      </c>
      <c r="E230" s="49">
        <f>M195</f>
        <v>8.4931968297955268E-2</v>
      </c>
      <c r="F230" s="49">
        <f>M129</f>
        <v>8.0698606429472963E-2</v>
      </c>
      <c r="G230" s="49">
        <f>W195</f>
        <v>7.6294056179958436E-2</v>
      </c>
      <c r="H230" s="49">
        <f>W129</f>
        <v>7.4358189420755477E-2</v>
      </c>
      <c r="I230" s="49">
        <f>AG195</f>
        <v>6.9310450710354604E-2</v>
      </c>
      <c r="J230" s="49">
        <f>AG129</f>
        <v>6.836557346273095E-2</v>
      </c>
      <c r="K230" s="49">
        <f>AQ195</f>
        <v>6.6213356935206871E-2</v>
      </c>
      <c r="L230" s="49">
        <f>AQ129</f>
        <v>6.5721329938686346E-2</v>
      </c>
      <c r="M230" s="49">
        <f>BA129</f>
        <v>6.4502475858542976E-2</v>
      </c>
    </row>
    <row r="231" spans="2:25">
      <c r="B231" t="s">
        <v>288</v>
      </c>
      <c r="C231" s="49" t="str">
        <f>C196</f>
        <v>C</v>
      </c>
      <c r="D231" s="49" t="str">
        <f>C130</f>
        <v>C</v>
      </c>
      <c r="E231" s="49" t="str">
        <f>M196</f>
        <v>B</v>
      </c>
      <c r="F231" s="49" t="str">
        <f>M130</f>
        <v>B</v>
      </c>
      <c r="G231" s="49" t="str">
        <f>W196</f>
        <v>B</v>
      </c>
      <c r="H231" s="49" t="str">
        <f>W130</f>
        <v>B</v>
      </c>
      <c r="I231" s="49" t="str">
        <f>AG196</f>
        <v>B</v>
      </c>
      <c r="J231" s="49" t="str">
        <f>AG130</f>
        <v>B</v>
      </c>
      <c r="K231" s="49" t="str">
        <f>AQ196</f>
        <v>B</v>
      </c>
      <c r="L231" s="49" t="str">
        <f>AQ130</f>
        <v>B</v>
      </c>
      <c r="M231" s="49" t="str">
        <f>BA130</f>
        <v>B</v>
      </c>
    </row>
    <row r="232" spans="2:25">
      <c r="B232" t="s">
        <v>88</v>
      </c>
      <c r="C232" s="49">
        <f>C197</f>
        <v>0.53169437544889253</v>
      </c>
      <c r="D232" s="49">
        <f>C131</f>
        <v>0.51260446429766171</v>
      </c>
      <c r="E232" s="49">
        <f>M197</f>
        <v>0.42347964280285</v>
      </c>
      <c r="F232" s="49">
        <f>M131</f>
        <v>0.39425664458028431</v>
      </c>
      <c r="G232" s="49">
        <f>W197</f>
        <v>0.36080313810144882</v>
      </c>
      <c r="H232" s="49">
        <f>W131</f>
        <v>0.34495728576085727</v>
      </c>
      <c r="I232" s="49">
        <f>AG197</f>
        <v>0.2997230155325975</v>
      </c>
      <c r="J232" s="49">
        <f>AG131</f>
        <v>0.29053862533231078</v>
      </c>
      <c r="K232" s="49">
        <f>AQ197</f>
        <v>0.26864613588902619</v>
      </c>
      <c r="L232" s="49">
        <f>AQ131</f>
        <v>0.26343833580481069</v>
      </c>
      <c r="M232" s="49">
        <f>BA131</f>
        <v>0.25018750329358463</v>
      </c>
    </row>
    <row r="233" spans="2:25">
      <c r="B233" t="s">
        <v>34</v>
      </c>
      <c r="C233" s="32" t="str">
        <f>C154</f>
        <v>n.r.</v>
      </c>
      <c r="D233" s="30" t="str">
        <f>C88</f>
        <v>n.r.</v>
      </c>
      <c r="E233" s="32" t="str">
        <f>M154</f>
        <v>n.r.</v>
      </c>
      <c r="F233" s="30" t="str">
        <f>M88</f>
        <v>n.r.</v>
      </c>
      <c r="G233" s="32">
        <f>W154</f>
        <v>30</v>
      </c>
      <c r="H233" s="30">
        <f>W88</f>
        <v>26</v>
      </c>
      <c r="I233" s="32">
        <f>AG154</f>
        <v>23.528575758252799</v>
      </c>
      <c r="J233" s="30">
        <f>AG88</f>
        <v>22</v>
      </c>
      <c r="K233" s="32">
        <f>AQ154</f>
        <v>22</v>
      </c>
      <c r="L233" s="30">
        <f>AQ88</f>
        <v>22</v>
      </c>
      <c r="M233" s="30" t="s">
        <v>277</v>
      </c>
    </row>
    <row r="234" spans="2:25">
      <c r="C234" s="14">
        <f>D234*SQRT(0.7)</f>
        <v>209.16500663351889</v>
      </c>
      <c r="D234" s="14">
        <v>250</v>
      </c>
      <c r="E234" s="14">
        <f>F234*SQRT(0.7)</f>
        <v>297.01430941959683</v>
      </c>
      <c r="F234" s="83">
        <v>355</v>
      </c>
      <c r="G234" s="14">
        <f>H234*SQRT(0.7)</f>
        <v>418.33001326703777</v>
      </c>
      <c r="H234" s="84">
        <v>500</v>
      </c>
      <c r="I234" s="14">
        <f>J234*SQRT(0.7)</f>
        <v>594.02861883919365</v>
      </c>
      <c r="J234" s="84">
        <v>710</v>
      </c>
      <c r="K234" s="14">
        <f>L234*SQRT(0.7)</f>
        <v>836.66002653407554</v>
      </c>
      <c r="L234" s="14">
        <v>1000</v>
      </c>
      <c r="M234" s="14">
        <v>1340</v>
      </c>
      <c r="P234">
        <f>C234</f>
        <v>209.16500663351889</v>
      </c>
      <c r="Q234">
        <f t="shared" ref="Q234:W234" si="72">D234</f>
        <v>250</v>
      </c>
      <c r="R234">
        <f t="shared" si="72"/>
        <v>297.01430941959683</v>
      </c>
      <c r="S234">
        <f t="shared" si="72"/>
        <v>355</v>
      </c>
      <c r="T234">
        <f t="shared" si="72"/>
        <v>418.33001326703777</v>
      </c>
      <c r="U234">
        <f t="shared" si="72"/>
        <v>500</v>
      </c>
      <c r="V234">
        <f t="shared" si="72"/>
        <v>594.02861883919365</v>
      </c>
      <c r="W234">
        <f t="shared" si="72"/>
        <v>710</v>
      </c>
      <c r="X234">
        <f>K234</f>
        <v>836.66002653407554</v>
      </c>
      <c r="Y234">
        <f>L234</f>
        <v>1000</v>
      </c>
    </row>
    <row r="235" spans="2:25">
      <c r="C235" s="14"/>
      <c r="D235" s="14"/>
      <c r="E235" s="14"/>
      <c r="F235" s="83"/>
      <c r="G235" s="14"/>
      <c r="H235" s="84"/>
      <c r="I235" s="14"/>
      <c r="J235" s="84"/>
      <c r="K235" s="14"/>
      <c r="L235" s="14"/>
    </row>
    <row r="236" spans="2:25">
      <c r="B236" t="s">
        <v>236</v>
      </c>
      <c r="C236" s="14">
        <v>1</v>
      </c>
      <c r="D236" s="14">
        <v>2</v>
      </c>
      <c r="E236" s="14">
        <v>3</v>
      </c>
      <c r="F236" s="14">
        <v>4</v>
      </c>
      <c r="G236" s="14">
        <v>5</v>
      </c>
      <c r="H236" s="14">
        <v>6</v>
      </c>
      <c r="I236" s="14">
        <v>7</v>
      </c>
      <c r="J236" s="14">
        <v>8</v>
      </c>
      <c r="K236" s="14">
        <v>9</v>
      </c>
      <c r="L236" s="14">
        <v>10</v>
      </c>
      <c r="M236" s="14">
        <v>11</v>
      </c>
    </row>
    <row r="237" spans="2:25">
      <c r="B237" s="225" t="str">
        <f>B222</f>
        <v>ΔT_max (heating)</v>
      </c>
      <c r="C237" s="226">
        <f>IFERROR(IF(C222&lt;1,"&lt; +1 K",C222),"n/a")</f>
        <v>81.006510161469393</v>
      </c>
      <c r="D237" s="226">
        <f t="shared" ref="D237:L237" si="73">IFERROR(IF(D222&lt;1,"&lt; +1 K",D222),"n/a")</f>
        <v>56.796294328772881</v>
      </c>
      <c r="E237" s="226">
        <f t="shared" si="73"/>
        <v>28.228606066022376</v>
      </c>
      <c r="F237" s="226">
        <f t="shared" si="73"/>
        <v>19.836039660967703</v>
      </c>
      <c r="G237" s="226">
        <f t="shared" si="73"/>
        <v>10.125813770183674</v>
      </c>
      <c r="H237" s="226">
        <f t="shared" si="73"/>
        <v>7.0995367910966101</v>
      </c>
      <c r="I237" s="226">
        <f t="shared" si="73"/>
        <v>3.528575758252797</v>
      </c>
      <c r="J237" s="226">
        <f t="shared" si="73"/>
        <v>2.4795049576209629</v>
      </c>
      <c r="K237" s="226">
        <f t="shared" si="73"/>
        <v>1.2611954843367388</v>
      </c>
      <c r="L237" s="226" t="str">
        <f t="shared" si="73"/>
        <v>&lt; +1 K</v>
      </c>
      <c r="M237" s="226" t="str">
        <f t="shared" ref="M237" si="74">IFERROR(IF(M222&lt;1,"&lt; +1 K",M222),"n/a")</f>
        <v>&lt; +1 K</v>
      </c>
    </row>
    <row r="238" spans="2:25">
      <c r="B238" s="227" t="s">
        <v>240</v>
      </c>
      <c r="C238" s="228">
        <f t="shared" ref="C238:M238" si="75">IF(C309&gt;=0,C223,C237)</f>
        <v>13.3</v>
      </c>
      <c r="D238" s="228">
        <f t="shared" si="75"/>
        <v>13.3</v>
      </c>
      <c r="E238" s="228">
        <f t="shared" si="75"/>
        <v>13.950000000000001</v>
      </c>
      <c r="F238" s="228">
        <f t="shared" si="75"/>
        <v>12.090000000000002</v>
      </c>
      <c r="G238" s="228">
        <f t="shared" si="75"/>
        <v>11.700000000000001</v>
      </c>
      <c r="H238" s="228">
        <f t="shared" si="75"/>
        <v>7.8000000000000007</v>
      </c>
      <c r="I238" s="228">
        <f t="shared" si="75"/>
        <v>3.528575758252797</v>
      </c>
      <c r="J238" s="228">
        <f t="shared" si="75"/>
        <v>2.4795049576209629</v>
      </c>
      <c r="K238" s="228">
        <f t="shared" si="75"/>
        <v>1.2611954843367388</v>
      </c>
      <c r="L238" s="228" t="str">
        <f t="shared" si="75"/>
        <v>&lt; +1 K</v>
      </c>
      <c r="M238" s="228" t="str">
        <f t="shared" si="75"/>
        <v>&lt; +1 K</v>
      </c>
      <c r="P238" s="47"/>
    </row>
    <row r="239" spans="2:25">
      <c r="B239" s="225" t="str">
        <f>B224</f>
        <v>T n.s.</v>
      </c>
      <c r="C239" s="226" t="str">
        <f>IFERROR(IF(C222&lt;1,"&lt; +1",IF(C222&gt;18,"+18",C222)),"n/a")</f>
        <v>+18</v>
      </c>
      <c r="D239" s="226" t="str">
        <f t="shared" ref="D239:L239" si="76">IFERROR(IF(D222&lt;1,"&lt; +1",IF(D222&gt;18,"+18",D222)),"n/a")</f>
        <v>+18</v>
      </c>
      <c r="E239" s="226" t="str">
        <f t="shared" si="76"/>
        <v>+18</v>
      </c>
      <c r="F239" s="226" t="str">
        <f t="shared" si="76"/>
        <v>+18</v>
      </c>
      <c r="G239" s="226">
        <f t="shared" si="76"/>
        <v>10.125813770183674</v>
      </c>
      <c r="H239" s="226">
        <f t="shared" si="76"/>
        <v>7.0995367910966101</v>
      </c>
      <c r="I239" s="226">
        <f t="shared" si="76"/>
        <v>3.528575758252797</v>
      </c>
      <c r="J239" s="226">
        <f t="shared" si="76"/>
        <v>2.4795049576209629</v>
      </c>
      <c r="K239" s="226">
        <f t="shared" si="76"/>
        <v>1.2611954843367388</v>
      </c>
      <c r="L239" s="226" t="str">
        <f t="shared" si="76"/>
        <v>&lt; +1</v>
      </c>
      <c r="M239" s="226" t="str">
        <f t="shared" ref="M239" si="77">IFERROR(IF(M222&lt;1,"&lt; +1",IF(M222&gt;18,"+18",M222)),"n/a")</f>
        <v>&lt; +1</v>
      </c>
      <c r="P239" s="47"/>
    </row>
    <row r="240" spans="2:25">
      <c r="B240" s="227" t="s">
        <v>240</v>
      </c>
      <c r="C240" s="228">
        <f t="shared" ref="C240:M240" si="78">IF(C307&lt;=1,C223,C239)</f>
        <v>13.3</v>
      </c>
      <c r="D240" s="228">
        <f t="shared" si="78"/>
        <v>13.3</v>
      </c>
      <c r="E240" s="228">
        <f t="shared" si="78"/>
        <v>13.950000000000001</v>
      </c>
      <c r="F240" s="228">
        <f t="shared" si="78"/>
        <v>12.090000000000002</v>
      </c>
      <c r="G240" s="228">
        <f t="shared" si="78"/>
        <v>11.700000000000001</v>
      </c>
      <c r="H240" s="228">
        <f t="shared" si="78"/>
        <v>7.8000000000000007</v>
      </c>
      <c r="I240" s="228">
        <f t="shared" si="78"/>
        <v>3.528575758252797</v>
      </c>
      <c r="J240" s="228">
        <f t="shared" si="78"/>
        <v>2.4795049576209629</v>
      </c>
      <c r="K240" s="228">
        <f t="shared" si="78"/>
        <v>1.2611954843367388</v>
      </c>
      <c r="L240" s="228" t="str">
        <f t="shared" si="78"/>
        <v>&lt; +1</v>
      </c>
      <c r="M240" s="228" t="str">
        <f t="shared" si="78"/>
        <v>&lt; +1</v>
      </c>
      <c r="P240" s="47"/>
    </row>
    <row r="241" spans="1:25">
      <c r="P241" s="52">
        <f t="shared" ref="P241:Y241" si="79">C222-$C$24</f>
        <v>77.006510161469393</v>
      </c>
      <c r="Q241" s="52">
        <f t="shared" si="79"/>
        <v>52.796294328772881</v>
      </c>
      <c r="R241" s="52">
        <f t="shared" si="79"/>
        <v>24.228606066022376</v>
      </c>
      <c r="S241" s="52">
        <f t="shared" si="79"/>
        <v>15.836039660967703</v>
      </c>
      <c r="T241" s="52">
        <f t="shared" si="79"/>
        <v>6.1258137701836741</v>
      </c>
      <c r="U241" s="52">
        <f t="shared" si="79"/>
        <v>3.0995367910966101</v>
      </c>
      <c r="V241" s="52">
        <f t="shared" si="79"/>
        <v>-0.47142424174720299</v>
      </c>
      <c r="W241" s="52">
        <f t="shared" si="79"/>
        <v>-1.5204950423790371</v>
      </c>
      <c r="X241" s="52">
        <f t="shared" si="79"/>
        <v>-2.7388045156632614</v>
      </c>
      <c r="Y241" s="52">
        <f t="shared" si="79"/>
        <v>-3.1125579011129236</v>
      </c>
    </row>
    <row r="242" spans="1:25" ht="19.899999999999999" thickBot="1">
      <c r="A242">
        <v>1</v>
      </c>
      <c r="B242" s="27" t="s">
        <v>94</v>
      </c>
      <c r="C242">
        <v>1</v>
      </c>
      <c r="D242">
        <v>2</v>
      </c>
      <c r="E242">
        <v>3</v>
      </c>
      <c r="F242">
        <v>4</v>
      </c>
      <c r="G242">
        <v>5</v>
      </c>
      <c r="H242">
        <v>6</v>
      </c>
      <c r="I242">
        <v>7</v>
      </c>
      <c r="J242">
        <v>8</v>
      </c>
      <c r="K242">
        <v>9</v>
      </c>
      <c r="L242">
        <v>10</v>
      </c>
      <c r="M242">
        <v>11</v>
      </c>
      <c r="N242">
        <v>0</v>
      </c>
    </row>
    <row r="243" spans="1:25" ht="14.65" thickTop="1">
      <c r="A243">
        <v>2</v>
      </c>
      <c r="C243" t="str">
        <f t="shared" ref="C243:L243" si="80">C213</f>
        <v>DN250 R1</v>
      </c>
      <c r="D243" t="str">
        <f t="shared" si="80"/>
        <v>DN250</v>
      </c>
      <c r="E243" t="str">
        <f t="shared" si="80"/>
        <v>DN355 R1</v>
      </c>
      <c r="F243" t="str">
        <f t="shared" si="80"/>
        <v>DN355</v>
      </c>
      <c r="G243" t="str">
        <f t="shared" si="80"/>
        <v>DN500 R1</v>
      </c>
      <c r="H243" t="str">
        <f t="shared" si="80"/>
        <v>DN500</v>
      </c>
      <c r="I243" t="str">
        <f t="shared" si="80"/>
        <v>DN710 R1</v>
      </c>
      <c r="J243" t="str">
        <f t="shared" si="80"/>
        <v>DN710</v>
      </c>
      <c r="K243" t="str">
        <f t="shared" si="80"/>
        <v>DN1000 R1</v>
      </c>
      <c r="L243" t="str">
        <f t="shared" si="80"/>
        <v>DN1000</v>
      </c>
      <c r="M243" t="str">
        <f t="shared" ref="M243" si="81">M213</f>
        <v>DN1340</v>
      </c>
    </row>
    <row r="244" spans="1:25">
      <c r="A244">
        <v>3</v>
      </c>
      <c r="B244" t="str">
        <f>"Max Airflow " &amp; D3</f>
        <v>Max Airflow [L/s]</v>
      </c>
      <c r="C244">
        <f>C214*$C$4</f>
        <v>600</v>
      </c>
      <c r="D244">
        <f t="shared" ref="D244:L244" si="82">D214*$C$4</f>
        <v>600</v>
      </c>
      <c r="E244">
        <f t="shared" si="82"/>
        <v>600</v>
      </c>
      <c r="F244">
        <f t="shared" si="82"/>
        <v>600</v>
      </c>
      <c r="G244">
        <f t="shared" si="82"/>
        <v>600</v>
      </c>
      <c r="H244">
        <f t="shared" si="82"/>
        <v>600</v>
      </c>
      <c r="I244">
        <f t="shared" si="82"/>
        <v>600</v>
      </c>
      <c r="J244">
        <f t="shared" si="82"/>
        <v>600</v>
      </c>
      <c r="K244">
        <f t="shared" si="82"/>
        <v>600</v>
      </c>
      <c r="L244">
        <f t="shared" si="82"/>
        <v>600</v>
      </c>
      <c r="M244">
        <f t="shared" ref="M244" si="83">M214*$C$4</f>
        <v>600</v>
      </c>
    </row>
    <row r="245" spans="1:25">
      <c r="A245">
        <v>4</v>
      </c>
      <c r="B245" t="str">
        <f>"Max Permissible Airflow " &amp;D3</f>
        <v>Max Permissible Airflow [L/s]</v>
      </c>
      <c r="C245">
        <f>C215*$C$4</f>
        <v>178.55755374668414</v>
      </c>
      <c r="D245">
        <f t="shared" ref="D245:L246" si="84">D215*$C$4</f>
        <v>199.37101093188045</v>
      </c>
      <c r="E245">
        <f t="shared" si="84"/>
        <v>358.21055260837863</v>
      </c>
      <c r="F245">
        <f t="shared" si="84"/>
        <v>451.32338738425682</v>
      </c>
      <c r="G245">
        <f t="shared" si="84"/>
        <v>660.55340435123026</v>
      </c>
      <c r="H245">
        <f t="shared" si="84"/>
        <v>779.95692188735654</v>
      </c>
      <c r="I245">
        <f t="shared" si="84"/>
        <v>1331.9398845338208</v>
      </c>
      <c r="J245">
        <f t="shared" si="84"/>
        <v>1572.7051372936655</v>
      </c>
      <c r="K245">
        <f t="shared" si="84"/>
        <v>2642.213617404921</v>
      </c>
      <c r="L245">
        <f t="shared" si="84"/>
        <v>3119.8276875494253</v>
      </c>
      <c r="M245">
        <f t="shared" ref="M245:M246" si="85">M215*$C$4</f>
        <v>5601.9625957637491</v>
      </c>
    </row>
    <row r="246" spans="1:25">
      <c r="A246">
        <v>5</v>
      </c>
      <c r="B246" t="str">
        <f>"Min Airflow (Turndown To) " &amp;D3</f>
        <v>Min Airflow (Turndown To) [L/s]</v>
      </c>
      <c r="C246">
        <f>C216*$C$4</f>
        <v>600</v>
      </c>
      <c r="D246">
        <f t="shared" si="84"/>
        <v>600</v>
      </c>
      <c r="E246">
        <f t="shared" si="84"/>
        <v>600</v>
      </c>
      <c r="F246">
        <f t="shared" si="84"/>
        <v>600</v>
      </c>
      <c r="G246">
        <f t="shared" si="84"/>
        <v>600</v>
      </c>
      <c r="H246">
        <f t="shared" si="84"/>
        <v>600</v>
      </c>
      <c r="I246">
        <f t="shared" si="84"/>
        <v>600</v>
      </c>
      <c r="J246">
        <f t="shared" si="84"/>
        <v>600</v>
      </c>
      <c r="K246">
        <f t="shared" si="84"/>
        <v>600</v>
      </c>
      <c r="L246">
        <f t="shared" si="84"/>
        <v>600</v>
      </c>
      <c r="M246">
        <f t="shared" si="85"/>
        <v>600</v>
      </c>
    </row>
    <row r="247" spans="1:25">
      <c r="A247">
        <v>6</v>
      </c>
      <c r="B247" t="str">
        <f>"Min Permissible Airflow "&amp;D3</f>
        <v>Min Permissible Airflow [L/s]</v>
      </c>
      <c r="C247">
        <f>C217*$C$4</f>
        <v>59.1</v>
      </c>
      <c r="D247">
        <f t="shared" ref="D247:L247" si="86">D217*$C$4</f>
        <v>84.4</v>
      </c>
      <c r="E247">
        <f t="shared" si="86"/>
        <v>118.9</v>
      </c>
      <c r="F247">
        <f t="shared" si="86"/>
        <v>169.6</v>
      </c>
      <c r="G247">
        <f t="shared" si="86"/>
        <v>234.6</v>
      </c>
      <c r="H247">
        <f t="shared" si="86"/>
        <v>335</v>
      </c>
      <c r="I247">
        <f t="shared" si="86"/>
        <v>471.8</v>
      </c>
      <c r="J247">
        <f t="shared" si="86"/>
        <v>672.6</v>
      </c>
      <c r="K247">
        <f t="shared" si="86"/>
        <v>930.7</v>
      </c>
      <c r="L247">
        <f t="shared" si="86"/>
        <v>1328.8</v>
      </c>
      <c r="M247">
        <f t="shared" ref="M247" si="87">M217*$C$4</f>
        <v>2385.9932800000001</v>
      </c>
    </row>
    <row r="248" spans="1:25">
      <c r="A248">
        <v>7</v>
      </c>
      <c r="B248" t="s">
        <v>271</v>
      </c>
      <c r="C248">
        <f>IF(C218&lt;4.5,"&lt; 5",C218)</f>
        <v>585.97122438242832</v>
      </c>
      <c r="D248">
        <f t="shared" ref="D248:L248" si="88">IF(D218&lt;4.5,"&lt; 5",D218)</f>
        <v>451.90258053683624</v>
      </c>
      <c r="E248">
        <f t="shared" si="88"/>
        <v>145.82911225629374</v>
      </c>
      <c r="F248">
        <f t="shared" si="88"/>
        <v>83.535153380529053</v>
      </c>
      <c r="G248">
        <f t="shared" si="88"/>
        <v>43.784346981075252</v>
      </c>
      <c r="H248">
        <f t="shared" si="88"/>
        <v>29.787502270145644</v>
      </c>
      <c r="I248">
        <f t="shared" si="88"/>
        <v>10.768755071013221</v>
      </c>
      <c r="J248">
        <f t="shared" si="88"/>
        <v>7.3262327347966609</v>
      </c>
      <c r="K248" t="str">
        <f t="shared" si="88"/>
        <v>&lt; 5</v>
      </c>
      <c r="L248" t="str">
        <f t="shared" si="88"/>
        <v>&lt; 5</v>
      </c>
      <c r="M248" t="str">
        <f t="shared" ref="M248" si="89">IF(M218&lt;4.5,"&lt; 5",M218)</f>
        <v>&lt; 5</v>
      </c>
    </row>
    <row r="249" spans="1:25">
      <c r="A249">
        <v>8</v>
      </c>
      <c r="B249" t="str">
        <f>B219</f>
        <v>Total Pressure</v>
      </c>
      <c r="C249">
        <f>IF(C219&lt;9.5,"&lt; 10",C219)</f>
        <v>677.48127517031128</v>
      </c>
      <c r="D249">
        <f t="shared" ref="D249:L249" si="90">IF(D219&lt;9.5,"&lt; 10",D219)</f>
        <v>543.4126313247192</v>
      </c>
      <c r="E249">
        <f t="shared" si="90"/>
        <v>168.33599865331203</v>
      </c>
      <c r="F249">
        <f t="shared" si="90"/>
        <v>106.04203977754736</v>
      </c>
      <c r="G249">
        <f t="shared" si="90"/>
        <v>49.503725155317937</v>
      </c>
      <c r="H249">
        <f t="shared" si="90"/>
        <v>35.506880444388329</v>
      </c>
      <c r="I249">
        <f t="shared" si="90"/>
        <v>12.175435470826864</v>
      </c>
      <c r="J249" t="str">
        <f t="shared" si="90"/>
        <v>&lt; 10</v>
      </c>
      <c r="K249" t="str">
        <f t="shared" si="90"/>
        <v>&lt; 10</v>
      </c>
      <c r="L249" t="str">
        <f t="shared" si="90"/>
        <v>&lt; 10</v>
      </c>
      <c r="M249" t="str">
        <f t="shared" ref="M249" si="91">IF(M219&lt;9.5,"&lt; 10",M219)</f>
        <v>&lt; 10</v>
      </c>
    </row>
    <row r="250" spans="1:25">
      <c r="A250">
        <v>9</v>
      </c>
      <c r="B250" t="str">
        <f>B220</f>
        <v>Max Permissible P</v>
      </c>
      <c r="C250">
        <f t="shared" ref="C250:L250" si="92">C220</f>
        <v>60</v>
      </c>
      <c r="D250">
        <f t="shared" si="92"/>
        <v>60</v>
      </c>
      <c r="E250">
        <f t="shared" si="92"/>
        <v>60</v>
      </c>
      <c r="F250">
        <f t="shared" si="92"/>
        <v>60</v>
      </c>
      <c r="G250">
        <f t="shared" si="92"/>
        <v>60</v>
      </c>
      <c r="H250">
        <f t="shared" si="92"/>
        <v>60</v>
      </c>
      <c r="I250">
        <f t="shared" si="92"/>
        <v>60</v>
      </c>
      <c r="J250">
        <f t="shared" si="92"/>
        <v>60</v>
      </c>
      <c r="K250">
        <f t="shared" si="92"/>
        <v>60</v>
      </c>
      <c r="L250">
        <f t="shared" si="92"/>
        <v>60</v>
      </c>
      <c r="M250">
        <f t="shared" ref="M250" si="93">M220</f>
        <v>60</v>
      </c>
    </row>
    <row r="251" spans="1:25">
      <c r="A251">
        <v>10</v>
      </c>
      <c r="B251" t="str">
        <f>B221</f>
        <v>Sound Power Level</v>
      </c>
      <c r="C251">
        <f>IF(C221&lt;19.5,"&lt; 20",C221)</f>
        <v>86.1895157460131</v>
      </c>
      <c r="D251">
        <f t="shared" ref="D251:L251" si="94">IF(D221&lt;19.5,"&lt; 20",D221)</f>
        <v>81.575058630981218</v>
      </c>
      <c r="E251">
        <f t="shared" si="94"/>
        <v>70.338785654650522</v>
      </c>
      <c r="F251">
        <f t="shared" si="94"/>
        <v>61.19301918837813</v>
      </c>
      <c r="G251">
        <f t="shared" si="94"/>
        <v>51.333043021697023</v>
      </c>
      <c r="H251">
        <f t="shared" si="94"/>
        <v>45.981391585491394</v>
      </c>
      <c r="I251">
        <f t="shared" si="94"/>
        <v>32.947462894001305</v>
      </c>
      <c r="J251">
        <f t="shared" si="94"/>
        <v>29.070295652007125</v>
      </c>
      <c r="K251" t="str">
        <f t="shared" si="94"/>
        <v>&lt; 20</v>
      </c>
      <c r="L251" t="str">
        <f t="shared" si="94"/>
        <v>&lt; 20</v>
      </c>
      <c r="M251" t="str">
        <f t="shared" ref="M251" si="95">IF(M221&lt;19.5,"&lt; 20",M221)</f>
        <v>&lt; 20</v>
      </c>
    </row>
    <row r="252" spans="1:25">
      <c r="A252">
        <v>11</v>
      </c>
      <c r="B252" t="str">
        <f>IF($C$25,B238,B237)</f>
        <v>ΔT_max (heating)</v>
      </c>
      <c r="C252">
        <f t="shared" ref="C252:I252" si="96">IF($C$25,IF(ISNUMBER(C238),ROUND(C238,1),C238),C237)</f>
        <v>81.006510161469393</v>
      </c>
      <c r="D252">
        <f t="shared" si="96"/>
        <v>56.796294328772881</v>
      </c>
      <c r="E252">
        <f t="shared" si="96"/>
        <v>28.228606066022376</v>
      </c>
      <c r="F252">
        <f t="shared" si="96"/>
        <v>19.836039660967703</v>
      </c>
      <c r="G252">
        <f t="shared" si="96"/>
        <v>10.125813770183674</v>
      </c>
      <c r="H252">
        <f t="shared" si="96"/>
        <v>7.0995367910966101</v>
      </c>
      <c r="I252">
        <f t="shared" si="96"/>
        <v>3.528575758252797</v>
      </c>
      <c r="J252">
        <f>IF($C$25,IF(ISNUMBER(J238),ROUND(J238,1),J238),J237)</f>
        <v>2.4795049576209629</v>
      </c>
      <c r="K252">
        <f>IF($C$25,IF(ISNUMBER(K238),ROUND(K238,1),K238),K237)</f>
        <v>1.2611954843367388</v>
      </c>
      <c r="L252" t="str">
        <f>IF($C$25,IF(ISNUMBER(L238),ROUND(L238,1),L238),L237)</f>
        <v>&lt; +1 K</v>
      </c>
      <c r="M252" t="str">
        <f>IF($C$25,IF(ISNUMBER(M238),ROUND(M238,1),M238),M237)</f>
        <v>&lt; +1 K</v>
      </c>
      <c r="P252" s="47"/>
    </row>
    <row r="253" spans="1:25">
      <c r="A253">
        <v>12</v>
      </c>
      <c r="B253" t="str">
        <f t="shared" ref="B253:L253" si="97">B224</f>
        <v>T n.s.</v>
      </c>
      <c r="C253">
        <f t="shared" si="97"/>
        <v>16</v>
      </c>
      <c r="D253">
        <f t="shared" si="97"/>
        <v>16</v>
      </c>
      <c r="E253">
        <f t="shared" si="97"/>
        <v>16</v>
      </c>
      <c r="F253">
        <f t="shared" si="97"/>
        <v>16</v>
      </c>
      <c r="G253">
        <f t="shared" si="97"/>
        <v>16</v>
      </c>
      <c r="H253">
        <f t="shared" si="97"/>
        <v>16</v>
      </c>
      <c r="I253">
        <f t="shared" si="97"/>
        <v>16</v>
      </c>
      <c r="J253">
        <f t="shared" si="97"/>
        <v>16</v>
      </c>
      <c r="K253">
        <f t="shared" si="97"/>
        <v>16</v>
      </c>
      <c r="L253">
        <f t="shared" si="97"/>
        <v>16</v>
      </c>
      <c r="M253" t="s">
        <v>277</v>
      </c>
    </row>
    <row r="254" spans="1:25">
      <c r="A254">
        <v>13</v>
      </c>
      <c r="B254" t="str">
        <f>B226</f>
        <v>Cmax</v>
      </c>
      <c r="C254" t="str">
        <f t="shared" ref="C254:M254" si="98">IF(OR(C$226="",C$227=""),"-",ROUND(C226,1))</f>
        <v>-</v>
      </c>
      <c r="D254">
        <f t="shared" si="98"/>
        <v>44.5</v>
      </c>
      <c r="E254">
        <f t="shared" si="98"/>
        <v>19.600000000000001</v>
      </c>
      <c r="F254">
        <f t="shared" si="98"/>
        <v>17.2</v>
      </c>
      <c r="G254">
        <f t="shared" si="98"/>
        <v>15.5</v>
      </c>
      <c r="H254">
        <f t="shared" si="98"/>
        <v>14.9</v>
      </c>
      <c r="I254">
        <f t="shared" si="98"/>
        <v>13.6</v>
      </c>
      <c r="J254">
        <f t="shared" si="98"/>
        <v>13.4</v>
      </c>
      <c r="K254">
        <f t="shared" si="98"/>
        <v>13</v>
      </c>
      <c r="L254">
        <f t="shared" si="98"/>
        <v>12.9</v>
      </c>
      <c r="M254">
        <f t="shared" si="98"/>
        <v>12.7</v>
      </c>
    </row>
    <row r="255" spans="1:25">
      <c r="A255">
        <v>14</v>
      </c>
      <c r="B255" t="str">
        <f>B227</f>
        <v>Cmin</v>
      </c>
      <c r="C255" t="str">
        <f t="shared" ref="C255:M255" si="99">IF(OR(C$226="",C$227=""),"-",ROUND(C227,1))</f>
        <v>-</v>
      </c>
      <c r="D255">
        <f t="shared" si="99"/>
        <v>31.2</v>
      </c>
      <c r="E255">
        <f t="shared" si="99"/>
        <v>7</v>
      </c>
      <c r="F255">
        <f t="shared" si="99"/>
        <v>6.3</v>
      </c>
      <c r="G255">
        <f t="shared" si="99"/>
        <v>5.7</v>
      </c>
      <c r="H255">
        <f t="shared" si="99"/>
        <v>5.5</v>
      </c>
      <c r="I255">
        <f t="shared" si="99"/>
        <v>5.0999999999999996</v>
      </c>
      <c r="J255">
        <f t="shared" si="99"/>
        <v>5.0999999999999996</v>
      </c>
      <c r="K255">
        <f t="shared" si="99"/>
        <v>4.9000000000000004</v>
      </c>
      <c r="L255">
        <f t="shared" si="99"/>
        <v>4.9000000000000004</v>
      </c>
      <c r="M255">
        <f t="shared" si="99"/>
        <v>4.8</v>
      </c>
    </row>
    <row r="256" spans="1:25">
      <c r="A256">
        <v>15</v>
      </c>
      <c r="B256" t="str">
        <f>B225</f>
        <v>Hmin</v>
      </c>
      <c r="C256" s="52">
        <f t="shared" ref="C256:M256" si="100">ROUND(C225,1)</f>
        <v>2.8</v>
      </c>
      <c r="D256" s="52">
        <f t="shared" si="100"/>
        <v>2.8</v>
      </c>
      <c r="E256" s="52">
        <f t="shared" si="100"/>
        <v>2.8</v>
      </c>
      <c r="F256" s="52">
        <f t="shared" si="100"/>
        <v>3.3</v>
      </c>
      <c r="G256" s="52">
        <f t="shared" si="100"/>
        <v>3.9</v>
      </c>
      <c r="H256" s="52">
        <f t="shared" si="100"/>
        <v>4.4000000000000004</v>
      </c>
      <c r="I256" s="52">
        <f t="shared" si="100"/>
        <v>5</v>
      </c>
      <c r="J256" s="52">
        <f t="shared" si="100"/>
        <v>5.5</v>
      </c>
      <c r="K256" s="52">
        <f t="shared" si="100"/>
        <v>6.1</v>
      </c>
      <c r="L256" s="52">
        <f t="shared" si="100"/>
        <v>6.6</v>
      </c>
      <c r="M256" s="52">
        <f t="shared" si="100"/>
        <v>7.2</v>
      </c>
    </row>
    <row r="257" spans="1:14">
      <c r="A257">
        <v>16</v>
      </c>
      <c r="B257" t="str">
        <f>B228</f>
        <v>Mean Air Velocity</v>
      </c>
      <c r="C257" s="32" t="str">
        <f t="shared" ref="C257:M257" si="101">IF(OR(C$226="",C$227=""),"",C228)</f>
        <v/>
      </c>
      <c r="D257" s="32">
        <f t="shared" si="101"/>
        <v>0.19567004622782422</v>
      </c>
      <c r="E257" s="32">
        <f t="shared" si="101"/>
        <v>0.16850724821379665</v>
      </c>
      <c r="F257" s="32">
        <f t="shared" si="101"/>
        <v>0.16050972826720425</v>
      </c>
      <c r="G257" s="32">
        <f t="shared" si="101"/>
        <v>0.1518734169456642</v>
      </c>
      <c r="H257" s="32">
        <f t="shared" si="101"/>
        <v>0.14797008427974329</v>
      </c>
      <c r="I257" s="32">
        <f t="shared" si="101"/>
        <v>0.13746554763987573</v>
      </c>
      <c r="J257" s="32">
        <f t="shared" si="101"/>
        <v>0.13544485851670043</v>
      </c>
      <c r="K257" s="32">
        <f t="shared" si="101"/>
        <v>0.13077611918267668</v>
      </c>
      <c r="L257" s="32">
        <f t="shared" si="101"/>
        <v>0.12969573177628821</v>
      </c>
      <c r="M257" s="32">
        <f t="shared" si="101"/>
        <v>0.12699824512437655</v>
      </c>
    </row>
    <row r="258" spans="1:14">
      <c r="A258">
        <v>17</v>
      </c>
      <c r="B258" t="str">
        <f>B229</f>
        <v>Draft Rating</v>
      </c>
      <c r="C258" s="32" t="str">
        <f t="shared" ref="C258:M258" si="102">IF(OR(C$226="",C$227=""),"",C229)</f>
        <v/>
      </c>
      <c r="D258" s="49">
        <f t="shared" si="102"/>
        <v>0.20110621004842349</v>
      </c>
      <c r="E258" s="49">
        <f t="shared" si="102"/>
        <v>0.1651673597429241</v>
      </c>
      <c r="F258" s="49">
        <f t="shared" si="102"/>
        <v>0.15484220735855339</v>
      </c>
      <c r="G258" s="49">
        <f t="shared" si="102"/>
        <v>0.14381228061084747</v>
      </c>
      <c r="H258" s="49">
        <f t="shared" si="102"/>
        <v>0.13886550225175667</v>
      </c>
      <c r="I258" s="49">
        <f t="shared" si="102"/>
        <v>0.1256606200025619</v>
      </c>
      <c r="J258" s="49">
        <f t="shared" si="102"/>
        <v>0.12313690105035428</v>
      </c>
      <c r="K258" s="49">
        <f t="shared" si="102"/>
        <v>0.11732371808857341</v>
      </c>
      <c r="L258" s="49">
        <f t="shared" si="102"/>
        <v>0.11598177533501954</v>
      </c>
      <c r="M258" s="49">
        <f t="shared" si="102"/>
        <v>0.11263611474463758</v>
      </c>
    </row>
    <row r="259" spans="1:14">
      <c r="A259">
        <v>18</v>
      </c>
      <c r="B259" t="str">
        <f>B230</f>
        <v>PPD</v>
      </c>
      <c r="C259" s="32" t="str">
        <f t="shared" ref="C259:M259" si="103">IF(OR(C$226="",C$227=""),"",C230)</f>
        <v/>
      </c>
      <c r="D259" s="49">
        <f t="shared" si="103"/>
        <v>0.10049840637212619</v>
      </c>
      <c r="E259" s="49">
        <f t="shared" si="103"/>
        <v>8.4931968297955268E-2</v>
      </c>
      <c r="F259" s="49">
        <f t="shared" si="103"/>
        <v>8.0698606429472963E-2</v>
      </c>
      <c r="G259" s="49">
        <f t="shared" si="103"/>
        <v>7.6294056179958436E-2</v>
      </c>
      <c r="H259" s="49">
        <f t="shared" si="103"/>
        <v>7.4358189420755477E-2</v>
      </c>
      <c r="I259" s="49">
        <f t="shared" si="103"/>
        <v>6.9310450710354604E-2</v>
      </c>
      <c r="J259" s="49">
        <f t="shared" si="103"/>
        <v>6.836557346273095E-2</v>
      </c>
      <c r="K259" s="49">
        <f t="shared" si="103"/>
        <v>6.6213356935206871E-2</v>
      </c>
      <c r="L259" s="49">
        <f t="shared" si="103"/>
        <v>6.5721329938686346E-2</v>
      </c>
      <c r="M259" s="49">
        <f t="shared" si="103"/>
        <v>6.4502475858542976E-2</v>
      </c>
    </row>
    <row r="260" spans="1:14">
      <c r="A260">
        <v>19</v>
      </c>
      <c r="B260" t="str">
        <f>B232</f>
        <v>PPD Class</v>
      </c>
      <c r="C260" s="32" t="str">
        <f t="shared" ref="C260:M260" si="104">IF(OR(C$226="",C$227=""),"",C231)</f>
        <v/>
      </c>
      <c r="D260" s="32" t="str">
        <f t="shared" si="104"/>
        <v>C</v>
      </c>
      <c r="E260" s="32" t="str">
        <f t="shared" si="104"/>
        <v>B</v>
      </c>
      <c r="F260" s="32" t="str">
        <f t="shared" si="104"/>
        <v>B</v>
      </c>
      <c r="G260" s="32" t="str">
        <f t="shared" si="104"/>
        <v>B</v>
      </c>
      <c r="H260" s="32" t="str">
        <f t="shared" si="104"/>
        <v>B</v>
      </c>
      <c r="I260" s="32" t="str">
        <f t="shared" si="104"/>
        <v>B</v>
      </c>
      <c r="J260" s="32" t="str">
        <f t="shared" si="104"/>
        <v>B</v>
      </c>
      <c r="K260" s="32" t="str">
        <f t="shared" si="104"/>
        <v>B</v>
      </c>
      <c r="L260" s="32" t="str">
        <f t="shared" si="104"/>
        <v>B</v>
      </c>
      <c r="M260" s="32" t="str">
        <f t="shared" si="104"/>
        <v>B</v>
      </c>
    </row>
    <row r="261" spans="1:14">
      <c r="A261">
        <v>20</v>
      </c>
      <c r="B261" t="s">
        <v>288</v>
      </c>
      <c r="C261" s="32" t="str">
        <f t="shared" ref="C261:M261" si="105">IF(OR(C$226="",C$227=""),"",C232)</f>
        <v/>
      </c>
      <c r="D261" s="32">
        <f t="shared" si="105"/>
        <v>0.51260446429766171</v>
      </c>
      <c r="E261" s="32">
        <f t="shared" si="105"/>
        <v>0.42347964280285</v>
      </c>
      <c r="F261" s="32">
        <f t="shared" si="105"/>
        <v>0.39425664458028431</v>
      </c>
      <c r="G261" s="32">
        <f t="shared" si="105"/>
        <v>0.36080313810144882</v>
      </c>
      <c r="H261" s="32">
        <f t="shared" si="105"/>
        <v>0.34495728576085727</v>
      </c>
      <c r="I261" s="32">
        <f t="shared" si="105"/>
        <v>0.2997230155325975</v>
      </c>
      <c r="J261" s="32">
        <f t="shared" si="105"/>
        <v>0.29053862533231078</v>
      </c>
      <c r="K261" s="32">
        <f t="shared" si="105"/>
        <v>0.26864613588902619</v>
      </c>
      <c r="L261" s="32">
        <f t="shared" si="105"/>
        <v>0.26343833580481069</v>
      </c>
      <c r="M261" s="32">
        <f t="shared" si="105"/>
        <v>0.25018750329358463</v>
      </c>
    </row>
    <row r="262" spans="1:14">
      <c r="A262">
        <v>21</v>
      </c>
      <c r="B262" t="str">
        <f>B233</f>
        <v>T s.</v>
      </c>
      <c r="C262" s="32" t="str">
        <f t="shared" ref="C262:M262" si="106">IFERROR(ROUND(C233,0),C233)</f>
        <v>n.r.</v>
      </c>
      <c r="D262" s="32" t="str">
        <f t="shared" si="106"/>
        <v>n.r.</v>
      </c>
      <c r="E262" s="32" t="str">
        <f t="shared" si="106"/>
        <v>n.r.</v>
      </c>
      <c r="F262" s="32" t="str">
        <f t="shared" si="106"/>
        <v>n.r.</v>
      </c>
      <c r="G262" s="32">
        <f t="shared" si="106"/>
        <v>30</v>
      </c>
      <c r="H262" s="32">
        <f t="shared" si="106"/>
        <v>26</v>
      </c>
      <c r="I262" s="32">
        <f t="shared" si="106"/>
        <v>24</v>
      </c>
      <c r="J262" s="32">
        <f t="shared" si="106"/>
        <v>22</v>
      </c>
      <c r="K262" s="32">
        <f t="shared" si="106"/>
        <v>22</v>
      </c>
      <c r="L262" s="32">
        <f t="shared" si="106"/>
        <v>22</v>
      </c>
      <c r="M262" s="32" t="str">
        <f t="shared" si="106"/>
        <v>-</v>
      </c>
    </row>
    <row r="263" spans="1:14">
      <c r="A263">
        <v>22</v>
      </c>
      <c r="B263" t="str">
        <f>B252</f>
        <v>ΔT_max (heating)</v>
      </c>
      <c r="C263" t="str">
        <f t="shared" ref="C263:M263" si="107">IF($C$25,C240,C239)</f>
        <v>+18</v>
      </c>
      <c r="D263" t="str">
        <f t="shared" si="107"/>
        <v>+18</v>
      </c>
      <c r="E263" t="str">
        <f t="shared" si="107"/>
        <v>+18</v>
      </c>
      <c r="F263" t="str">
        <f t="shared" si="107"/>
        <v>+18</v>
      </c>
      <c r="G263">
        <f t="shared" si="107"/>
        <v>10.125813770183674</v>
      </c>
      <c r="H263">
        <f t="shared" si="107"/>
        <v>7.0995367910966101</v>
      </c>
      <c r="I263">
        <f t="shared" si="107"/>
        <v>3.528575758252797</v>
      </c>
      <c r="J263">
        <f t="shared" si="107"/>
        <v>2.4795049576209629</v>
      </c>
      <c r="K263">
        <f t="shared" si="107"/>
        <v>1.2611954843367388</v>
      </c>
      <c r="L263" t="str">
        <f t="shared" si="107"/>
        <v>&lt; +1</v>
      </c>
      <c r="M263" t="str">
        <f t="shared" si="107"/>
        <v>&lt; +1</v>
      </c>
    </row>
    <row r="264" spans="1:14">
      <c r="C264" s="32"/>
      <c r="D264" s="32"/>
      <c r="E264" s="32"/>
      <c r="F264" s="32"/>
      <c r="G264" s="32"/>
      <c r="H264" s="32"/>
      <c r="I264" s="32"/>
      <c r="J264" s="32"/>
      <c r="K264" s="32"/>
      <c r="L264" s="32"/>
    </row>
    <row r="265" spans="1:14" ht="17.25" thickBot="1">
      <c r="B265" s="28" t="s">
        <v>221</v>
      </c>
      <c r="C265" s="32"/>
      <c r="D265" s="32"/>
      <c r="E265" s="32"/>
      <c r="F265" s="32"/>
      <c r="G265" s="32"/>
      <c r="H265" s="32"/>
      <c r="I265" s="32"/>
      <c r="J265" s="32"/>
      <c r="K265" s="32"/>
      <c r="L265" s="32"/>
    </row>
    <row r="266" spans="1:14" ht="14.65" thickTop="1">
      <c r="C266" s="32"/>
      <c r="D266" s="32"/>
      <c r="E266" s="32"/>
      <c r="F266" s="32"/>
      <c r="G266" s="32"/>
      <c r="H266" s="32"/>
      <c r="I266" s="32"/>
      <c r="J266" s="32"/>
      <c r="K266" s="32"/>
      <c r="L266" s="32"/>
    </row>
    <row r="267" spans="1:14">
      <c r="B267" t="s">
        <v>222</v>
      </c>
      <c r="C267" s="32" t="b">
        <f t="shared" ref="C267:G267" si="108">AND($C$25,C309&lt;0)</f>
        <v>0</v>
      </c>
      <c r="D267" s="32" t="b">
        <f t="shared" si="108"/>
        <v>0</v>
      </c>
      <c r="E267" s="32" t="b">
        <f>AND($C$25,E309&lt;0)</f>
        <v>0</v>
      </c>
      <c r="F267" s="32" t="b">
        <f t="shared" si="108"/>
        <v>0</v>
      </c>
      <c r="G267" s="32" t="b">
        <f t="shared" si="108"/>
        <v>0</v>
      </c>
      <c r="H267" s="32" t="b">
        <f>AND($C$25,H309&lt;0)</f>
        <v>0</v>
      </c>
      <c r="I267" s="32" t="b">
        <f t="shared" ref="I267:M267" si="109">AND($C$25,I309&lt;0)</f>
        <v>0</v>
      </c>
      <c r="J267" s="32" t="b">
        <f t="shared" si="109"/>
        <v>0</v>
      </c>
      <c r="K267" s="32" t="b">
        <f t="shared" si="109"/>
        <v>0</v>
      </c>
      <c r="L267" s="32" t="b">
        <f t="shared" si="109"/>
        <v>0</v>
      </c>
      <c r="M267" s="32" t="b">
        <f t="shared" si="109"/>
        <v>0</v>
      </c>
      <c r="N267" t="s">
        <v>223</v>
      </c>
    </row>
    <row r="268" spans="1:14">
      <c r="C268" s="50"/>
      <c r="D268" s="50"/>
      <c r="E268" s="50"/>
      <c r="F268" s="50"/>
      <c r="G268" s="50"/>
      <c r="H268" s="50"/>
      <c r="I268" s="50"/>
      <c r="J268" s="50"/>
      <c r="K268" s="50"/>
      <c r="L268" s="50"/>
      <c r="N268" t="s">
        <v>243</v>
      </c>
    </row>
    <row r="269" spans="1:14">
      <c r="B269" t="s">
        <v>289</v>
      </c>
      <c r="C269" s="32" t="e">
        <f>OR($C$200&gt;ROUND(C254,1),C255&gt;C254)</f>
        <v>#VALUE!</v>
      </c>
      <c r="D269" s="32" t="b">
        <f t="shared" ref="D269:M269" si="110">OR($C$200&gt;ROUND(D254,1),D255&gt;D254)</f>
        <v>0</v>
      </c>
      <c r="E269" s="32" t="b">
        <f t="shared" si="110"/>
        <v>0</v>
      </c>
      <c r="F269" s="32" t="b">
        <f t="shared" si="110"/>
        <v>0</v>
      </c>
      <c r="G269" s="32" t="b">
        <f t="shared" si="110"/>
        <v>0</v>
      </c>
      <c r="H269" s="32" t="b">
        <f t="shared" si="110"/>
        <v>0</v>
      </c>
      <c r="I269" s="32" t="b">
        <f t="shared" si="110"/>
        <v>0</v>
      </c>
      <c r="J269" s="32" t="b">
        <f t="shared" si="110"/>
        <v>0</v>
      </c>
      <c r="K269" s="32" t="b">
        <f t="shared" si="110"/>
        <v>0</v>
      </c>
      <c r="L269" s="32" t="b">
        <f t="shared" si="110"/>
        <v>0</v>
      </c>
      <c r="M269" s="32" t="b">
        <f t="shared" si="110"/>
        <v>0</v>
      </c>
    </row>
    <row r="270" spans="1:14">
      <c r="B270" t="s">
        <v>290</v>
      </c>
      <c r="C270" s="32" t="e">
        <f>OR($C$200&lt;ROUND(C255,1),C255&gt;C254)</f>
        <v>#VALUE!</v>
      </c>
      <c r="D270" s="32" t="b">
        <f t="shared" ref="D270:M270" si="111">OR($C$200&lt;ROUND(D255,1),D255&gt;D254)</f>
        <v>1</v>
      </c>
      <c r="E270" s="32" t="b">
        <f t="shared" si="111"/>
        <v>0</v>
      </c>
      <c r="F270" s="32" t="b">
        <f t="shared" si="111"/>
        <v>0</v>
      </c>
      <c r="G270" s="32" t="b">
        <f t="shared" si="111"/>
        <v>0</v>
      </c>
      <c r="H270" s="32" t="b">
        <f t="shared" si="111"/>
        <v>0</v>
      </c>
      <c r="I270" s="32" t="b">
        <f t="shared" si="111"/>
        <v>0</v>
      </c>
      <c r="J270" s="32" t="b">
        <f t="shared" si="111"/>
        <v>0</v>
      </c>
      <c r="K270" s="32" t="b">
        <f t="shared" si="111"/>
        <v>0</v>
      </c>
      <c r="L270" s="32" t="b">
        <f t="shared" si="111"/>
        <v>0</v>
      </c>
      <c r="M270" s="32" t="b">
        <f t="shared" si="111"/>
        <v>0</v>
      </c>
    </row>
    <row r="271" spans="1:14">
      <c r="B271" t="s">
        <v>334</v>
      </c>
      <c r="C271" s="32" t="b">
        <f t="shared" ref="C271:M271" si="112">$C$15&lt;C256</f>
        <v>0</v>
      </c>
      <c r="D271" s="32" t="b">
        <f t="shared" si="112"/>
        <v>0</v>
      </c>
      <c r="E271" s="32" t="b">
        <f t="shared" si="112"/>
        <v>0</v>
      </c>
      <c r="F271" s="32" t="b">
        <f t="shared" si="112"/>
        <v>0</v>
      </c>
      <c r="G271" s="32" t="b">
        <f t="shared" si="112"/>
        <v>0</v>
      </c>
      <c r="H271" s="32" t="b">
        <f t="shared" si="112"/>
        <v>0</v>
      </c>
      <c r="I271" s="32" t="b">
        <f t="shared" si="112"/>
        <v>0</v>
      </c>
      <c r="J271" s="32" t="b">
        <f t="shared" si="112"/>
        <v>0</v>
      </c>
      <c r="K271" s="32" t="b">
        <f t="shared" si="112"/>
        <v>1</v>
      </c>
      <c r="L271" s="32" t="b">
        <f t="shared" si="112"/>
        <v>1</v>
      </c>
      <c r="M271" s="32" t="b">
        <f t="shared" si="112"/>
        <v>1</v>
      </c>
    </row>
    <row r="272" spans="1:14">
      <c r="C272" s="32"/>
      <c r="D272" s="32"/>
      <c r="E272" s="32"/>
      <c r="F272" s="32"/>
      <c r="G272" s="32"/>
      <c r="H272" s="32"/>
      <c r="I272" s="32"/>
      <c r="J272" s="32"/>
      <c r="K272" s="32"/>
      <c r="L272" s="32"/>
    </row>
    <row r="273" spans="2:12">
      <c r="C273" s="32"/>
      <c r="D273" s="32"/>
      <c r="E273" s="32"/>
      <c r="F273" s="32"/>
      <c r="G273" s="32"/>
      <c r="H273" s="32"/>
      <c r="I273" s="32"/>
      <c r="J273" s="32"/>
      <c r="K273" s="32"/>
      <c r="L273" s="32"/>
    </row>
    <row r="274" spans="2:12">
      <c r="C274" s="32"/>
      <c r="D274" s="32"/>
      <c r="E274" s="32"/>
      <c r="F274" s="32"/>
      <c r="G274" s="32"/>
      <c r="H274" s="32"/>
      <c r="I274" s="32"/>
      <c r="J274" s="32"/>
      <c r="K274" s="32"/>
      <c r="L274" s="32"/>
    </row>
    <row r="275" spans="2:12">
      <c r="D275" t="s">
        <v>37</v>
      </c>
      <c r="I275" t="s">
        <v>122</v>
      </c>
      <c r="L275" t="s">
        <v>235</v>
      </c>
    </row>
    <row r="276" spans="2:12">
      <c r="B276" t="s">
        <v>121</v>
      </c>
      <c r="C276" s="92">
        <v>6</v>
      </c>
      <c r="D276">
        <f>VLOOKUP(C276,I276:K285,3,0)</f>
        <v>7.0995367910966101</v>
      </c>
      <c r="I276">
        <v>1</v>
      </c>
      <c r="J276" t="s">
        <v>66</v>
      </c>
      <c r="K276" s="52">
        <f>IFERROR(C222,0)</f>
        <v>81.006510161469393</v>
      </c>
      <c r="L276">
        <v>13.3</v>
      </c>
    </row>
    <row r="277" spans="2:12">
      <c r="I277">
        <v>2</v>
      </c>
      <c r="J277" t="s">
        <v>65</v>
      </c>
      <c r="K277" s="52">
        <f>IFERROR(D222,0)</f>
        <v>56.796294328772881</v>
      </c>
      <c r="L277">
        <v>13.3</v>
      </c>
    </row>
    <row r="278" spans="2:12">
      <c r="B278" t="s">
        <v>101</v>
      </c>
      <c r="C278" t="s">
        <v>123</v>
      </c>
      <c r="I278">
        <v>3</v>
      </c>
      <c r="J278" t="s">
        <v>67</v>
      </c>
      <c r="K278" s="52">
        <f>IFERROR(E222,0)</f>
        <v>28.228606066022376</v>
      </c>
      <c r="L278">
        <v>18.600000000000001</v>
      </c>
    </row>
    <row r="279" spans="2:12">
      <c r="C279" t="s">
        <v>85</v>
      </c>
      <c r="D279" s="46" t="s">
        <v>102</v>
      </c>
      <c r="G279" t="s">
        <v>234</v>
      </c>
      <c r="I279">
        <v>4</v>
      </c>
      <c r="J279" t="s">
        <v>68</v>
      </c>
      <c r="K279" s="52">
        <f>IFERROR(F222,0)</f>
        <v>19.836039660967703</v>
      </c>
      <c r="L279">
        <v>18.600000000000001</v>
      </c>
    </row>
    <row r="280" spans="2:12">
      <c r="C280">
        <v>10</v>
      </c>
      <c r="D280" s="82">
        <v>-6</v>
      </c>
      <c r="F280" s="46">
        <v>0</v>
      </c>
      <c r="G280">
        <f>VLOOKUP(C276,I276:L285,4,0)</f>
        <v>26</v>
      </c>
      <c r="I280">
        <v>5</v>
      </c>
      <c r="J280" t="s">
        <v>69</v>
      </c>
      <c r="K280" s="52">
        <f>IFERROR(G222,0)</f>
        <v>10.125813770183674</v>
      </c>
      <c r="L280">
        <v>26</v>
      </c>
    </row>
    <row r="281" spans="2:12">
      <c r="C281">
        <v>2</v>
      </c>
      <c r="D281" s="82">
        <f>D276*2</f>
        <v>14.19907358219322</v>
      </c>
      <c r="F281" s="46">
        <v>1</v>
      </c>
      <c r="G281">
        <v>0</v>
      </c>
      <c r="I281">
        <v>6</v>
      </c>
      <c r="J281" t="s">
        <v>70</v>
      </c>
      <c r="K281" s="52">
        <f>IFERROR(H222,0)</f>
        <v>7.0995367910966101</v>
      </c>
      <c r="L281">
        <v>26</v>
      </c>
    </row>
    <row r="282" spans="2:12">
      <c r="I282">
        <v>7</v>
      </c>
      <c r="J282" t="s">
        <v>71</v>
      </c>
      <c r="K282" s="52">
        <f>IFERROR(I222,0)</f>
        <v>3.528575758252797</v>
      </c>
      <c r="L282">
        <v>36.5</v>
      </c>
    </row>
    <row r="283" spans="2:12">
      <c r="C283" t="s">
        <v>124</v>
      </c>
      <c r="D283" t="s">
        <v>85</v>
      </c>
      <c r="F283" t="s">
        <v>197</v>
      </c>
      <c r="I283">
        <v>8</v>
      </c>
      <c r="J283" t="s">
        <v>72</v>
      </c>
      <c r="K283" s="52">
        <f>IFERROR(J222,0)</f>
        <v>2.4795049576209629</v>
      </c>
      <c r="L283">
        <v>36.5</v>
      </c>
    </row>
    <row r="284" spans="2:12">
      <c r="C284">
        <v>-12</v>
      </c>
      <c r="D284">
        <v>10</v>
      </c>
      <c r="I284">
        <v>9</v>
      </c>
      <c r="J284" t="s">
        <v>73</v>
      </c>
      <c r="K284" s="52">
        <f>IFERROR(K222,0)</f>
        <v>1.2611954843367388</v>
      </c>
      <c r="L284">
        <v>51</v>
      </c>
    </row>
    <row r="285" spans="2:12">
      <c r="C285">
        <v>-6</v>
      </c>
      <c r="D285">
        <v>10</v>
      </c>
      <c r="F285" s="46">
        <v>0</v>
      </c>
      <c r="G285">
        <f>G280</f>
        <v>26</v>
      </c>
      <c r="I285">
        <v>10</v>
      </c>
      <c r="J285" t="s">
        <v>74</v>
      </c>
      <c r="K285" s="52">
        <f>IFERROR(L222,0)</f>
        <v>0.88744209888707626</v>
      </c>
      <c r="L285">
        <v>51</v>
      </c>
    </row>
    <row r="286" spans="2:12">
      <c r="C286">
        <v>0</v>
      </c>
      <c r="D286" s="30">
        <f>INTERCEPT(C280:C281,D280:D281)</f>
        <v>7.6236533915934102</v>
      </c>
      <c r="E286" t="str">
        <f>ROUND(D286,1) &amp;" V"</f>
        <v>7.6 V</v>
      </c>
      <c r="F286" s="46">
        <f>INTERCEPT(F280:F281,D280:D281)</f>
        <v>0.29704332605082373</v>
      </c>
      <c r="G286">
        <f>(100%-F286)*G285</f>
        <v>18.276873522678581</v>
      </c>
      <c r="H286" t="s">
        <v>234</v>
      </c>
    </row>
    <row r="287" spans="2:12">
      <c r="B287" t="s">
        <v>125</v>
      </c>
      <c r="C287">
        <f>D276</f>
        <v>7.0995367910966101</v>
      </c>
      <c r="D287">
        <v>2</v>
      </c>
      <c r="F287" s="46">
        <v>1</v>
      </c>
      <c r="G287">
        <v>0</v>
      </c>
    </row>
    <row r="288" spans="2:12">
      <c r="C288" t="str">
        <f>"+ "&amp; ROUND(C287,1) &amp; "K"</f>
        <v>+ 7.1K</v>
      </c>
    </row>
    <row r="290" spans="2:13">
      <c r="B290" t="s">
        <v>230</v>
      </c>
      <c r="C290">
        <f>IF(C25,C26,0)</f>
        <v>0</v>
      </c>
      <c r="D290" s="30">
        <f>IF(E290&lt;0,0,C290)</f>
        <v>0</v>
      </c>
      <c r="E290" s="30">
        <f>IF(C25,FORECAST(C290,G286:G287,C286:C287),-10)</f>
        <v>-10</v>
      </c>
    </row>
    <row r="294" spans="2:13" ht="17.25" thickBot="1">
      <c r="B294" s="28" t="s">
        <v>224</v>
      </c>
    </row>
    <row r="295" spans="2:13" ht="14.65" thickTop="1"/>
    <row r="296" spans="2:13">
      <c r="C296">
        <v>1</v>
      </c>
      <c r="D296">
        <v>2</v>
      </c>
      <c r="E296">
        <v>3</v>
      </c>
      <c r="F296">
        <v>4</v>
      </c>
      <c r="G296">
        <v>5</v>
      </c>
      <c r="H296">
        <v>6</v>
      </c>
      <c r="I296">
        <v>7</v>
      </c>
      <c r="J296">
        <v>8</v>
      </c>
      <c r="K296">
        <v>9</v>
      </c>
      <c r="L296">
        <v>10</v>
      </c>
      <c r="M296">
        <v>11</v>
      </c>
    </row>
    <row r="297" spans="2:13">
      <c r="B297" t="s">
        <v>122</v>
      </c>
      <c r="C297" t="s">
        <v>54</v>
      </c>
      <c r="D297" t="s">
        <v>25</v>
      </c>
      <c r="E297" t="s">
        <v>55</v>
      </c>
      <c r="F297" t="s">
        <v>36</v>
      </c>
      <c r="G297" t="s">
        <v>56</v>
      </c>
      <c r="H297" t="s">
        <v>38</v>
      </c>
      <c r="I297" t="s">
        <v>57</v>
      </c>
      <c r="J297" t="s">
        <v>39</v>
      </c>
      <c r="K297" t="s">
        <v>58</v>
      </c>
      <c r="L297" t="s">
        <v>53</v>
      </c>
      <c r="M297" t="s">
        <v>276</v>
      </c>
    </row>
    <row r="298" spans="2:13">
      <c r="C298" s="46">
        <v>0</v>
      </c>
      <c r="D298" s="46">
        <v>0</v>
      </c>
      <c r="E298" s="46">
        <v>0</v>
      </c>
      <c r="F298" s="46">
        <v>0</v>
      </c>
      <c r="G298" s="46">
        <v>0</v>
      </c>
      <c r="H298" s="46">
        <v>0</v>
      </c>
      <c r="I298" s="46">
        <v>0</v>
      </c>
      <c r="J298" s="46">
        <v>0</v>
      </c>
      <c r="K298" s="46">
        <v>0</v>
      </c>
      <c r="L298" s="46">
        <v>0</v>
      </c>
      <c r="M298" s="46">
        <v>0</v>
      </c>
    </row>
    <row r="299" spans="2:13">
      <c r="C299" s="46">
        <v>1</v>
      </c>
      <c r="D299" s="46">
        <v>1</v>
      </c>
      <c r="E299" s="46">
        <v>1</v>
      </c>
      <c r="F299" s="46">
        <v>1</v>
      </c>
      <c r="G299" s="46">
        <v>1</v>
      </c>
      <c r="H299" s="46">
        <v>1</v>
      </c>
      <c r="I299" s="46">
        <v>1</v>
      </c>
      <c r="J299" s="46">
        <v>1</v>
      </c>
      <c r="K299" s="46">
        <v>1</v>
      </c>
      <c r="L299" s="46">
        <v>1</v>
      </c>
      <c r="M299" s="46">
        <v>1</v>
      </c>
    </row>
    <row r="300" spans="2:13">
      <c r="C300" s="224">
        <v>-8</v>
      </c>
      <c r="D300" s="224">
        <v>-8</v>
      </c>
      <c r="E300" s="224">
        <v>-8</v>
      </c>
      <c r="F300" s="224">
        <v>-8</v>
      </c>
      <c r="G300" s="224">
        <v>-8</v>
      </c>
      <c r="H300" s="224">
        <v>-8</v>
      </c>
      <c r="I300" s="224">
        <v>-8</v>
      </c>
      <c r="J300" s="224">
        <v>-8</v>
      </c>
      <c r="K300" s="224">
        <v>-8</v>
      </c>
      <c r="L300" s="224">
        <v>-8</v>
      </c>
      <c r="M300" s="224">
        <v>-8</v>
      </c>
    </row>
    <row r="301" spans="2:13">
      <c r="B301" t="s">
        <v>226</v>
      </c>
      <c r="C301">
        <f t="shared" ref="C301:L301" si="113">2*C303</f>
        <v>162.01302032293879</v>
      </c>
      <c r="D301">
        <f t="shared" si="113"/>
        <v>113.59258865754576</v>
      </c>
      <c r="E301">
        <f t="shared" si="113"/>
        <v>56.457212132044752</v>
      </c>
      <c r="F301">
        <f t="shared" si="113"/>
        <v>39.672079321935406</v>
      </c>
      <c r="G301">
        <f t="shared" si="113"/>
        <v>20.251627540367348</v>
      </c>
      <c r="H301">
        <f t="shared" si="113"/>
        <v>14.19907358219322</v>
      </c>
      <c r="I301">
        <f t="shared" si="113"/>
        <v>7.057151516505594</v>
      </c>
      <c r="J301">
        <f t="shared" si="113"/>
        <v>4.9590099152419258</v>
      </c>
      <c r="K301">
        <f t="shared" si="113"/>
        <v>2.5223909686734776</v>
      </c>
      <c r="L301">
        <f t="shared" si="113"/>
        <v>1.7748841977741525</v>
      </c>
      <c r="M301">
        <f t="shared" ref="M301" si="114">2*M303</f>
        <v>0.73765896975947509</v>
      </c>
    </row>
    <row r="302" spans="2:13">
      <c r="C302">
        <v>0</v>
      </c>
      <c r="D302">
        <v>0</v>
      </c>
      <c r="E302">
        <v>0</v>
      </c>
      <c r="F302">
        <v>0</v>
      </c>
      <c r="G302">
        <v>0</v>
      </c>
      <c r="H302">
        <v>0</v>
      </c>
      <c r="I302">
        <v>0</v>
      </c>
      <c r="J302">
        <v>0</v>
      </c>
      <c r="K302">
        <v>0</v>
      </c>
      <c r="L302">
        <v>0</v>
      </c>
      <c r="M302">
        <v>0</v>
      </c>
    </row>
    <row r="303" spans="2:13">
      <c r="B303" t="s">
        <v>225</v>
      </c>
      <c r="C303" s="52">
        <f t="shared" ref="C303:M303" si="115">C222</f>
        <v>81.006510161469393</v>
      </c>
      <c r="D303" s="52">
        <f t="shared" si="115"/>
        <v>56.796294328772881</v>
      </c>
      <c r="E303" s="52">
        <f t="shared" si="115"/>
        <v>28.228606066022376</v>
      </c>
      <c r="F303" s="52">
        <f t="shared" si="115"/>
        <v>19.836039660967703</v>
      </c>
      <c r="G303" s="52">
        <f t="shared" si="115"/>
        <v>10.125813770183674</v>
      </c>
      <c r="H303" s="52">
        <f t="shared" si="115"/>
        <v>7.0995367910966101</v>
      </c>
      <c r="I303" s="52">
        <f t="shared" si="115"/>
        <v>3.528575758252797</v>
      </c>
      <c r="J303" s="52">
        <f t="shared" si="115"/>
        <v>2.4795049576209629</v>
      </c>
      <c r="K303" s="52">
        <f t="shared" si="115"/>
        <v>1.2611954843367388</v>
      </c>
      <c r="L303" s="52">
        <f t="shared" si="115"/>
        <v>0.88744209888707626</v>
      </c>
      <c r="M303" s="52">
        <f t="shared" si="115"/>
        <v>0.36882948487973755</v>
      </c>
    </row>
    <row r="304" spans="2:13">
      <c r="B304" t="s">
        <v>227</v>
      </c>
      <c r="C304" s="46">
        <f>INTERCEPT(C298:C299,C300:C301)</f>
        <v>4.7055219563796047E-2</v>
      </c>
      <c r="D304" s="46">
        <f t="shared" ref="D304:L304" si="116">INTERCEPT(D298:D299,D300:D301)</f>
        <v>6.5793483700978372E-2</v>
      </c>
      <c r="E304" s="46">
        <f t="shared" si="116"/>
        <v>0.12411334178728495</v>
      </c>
      <c r="F304" s="46">
        <f t="shared" si="116"/>
        <v>0.16781311228266377</v>
      </c>
      <c r="G304" s="46">
        <f t="shared" si="116"/>
        <v>0.28316952673148466</v>
      </c>
      <c r="H304" s="46">
        <f t="shared" si="116"/>
        <v>0.36037539901742233</v>
      </c>
      <c r="I304" s="46">
        <f t="shared" si="116"/>
        <v>0.5313089923569162</v>
      </c>
      <c r="J304" s="46">
        <f t="shared" si="116"/>
        <v>0.61733111189232792</v>
      </c>
      <c r="K304" s="46">
        <f t="shared" si="116"/>
        <v>0.7602834777587183</v>
      </c>
      <c r="L304" s="46">
        <f t="shared" si="116"/>
        <v>0.81842401793585307</v>
      </c>
      <c r="M304" s="46">
        <f t="shared" ref="M304" si="117">INTERCEPT(M298:M299,M300:M301)</f>
        <v>0.91557704731754008</v>
      </c>
    </row>
    <row r="305" spans="2:14">
      <c r="C305" s="47">
        <v>1</v>
      </c>
      <c r="D305" s="47">
        <v>1</v>
      </c>
      <c r="E305" s="47">
        <v>1</v>
      </c>
      <c r="F305" s="47">
        <v>1</v>
      </c>
      <c r="G305" s="47">
        <v>1</v>
      </c>
      <c r="H305" s="47">
        <v>1</v>
      </c>
      <c r="I305" s="47">
        <v>1</v>
      </c>
      <c r="J305" s="47">
        <v>1</v>
      </c>
      <c r="K305" s="47">
        <v>1</v>
      </c>
      <c r="L305" s="47">
        <v>1</v>
      </c>
      <c r="M305" s="47">
        <v>1</v>
      </c>
    </row>
    <row r="306" spans="2:14">
      <c r="B306" t="s">
        <v>228</v>
      </c>
      <c r="C306" s="46">
        <f>ROUND(FORECAST($C$26,C304:C305,C302:C303),2)</f>
        <v>0.09</v>
      </c>
      <c r="D306" s="46">
        <f t="shared" ref="D306:K306" si="118">ROUND(FORECAST($C$26,D304:D305,D302:D303),2)</f>
        <v>0.13</v>
      </c>
      <c r="E306" s="46">
        <f t="shared" si="118"/>
        <v>0.25</v>
      </c>
      <c r="F306" s="46">
        <f t="shared" si="118"/>
        <v>0.34</v>
      </c>
      <c r="G306" s="46">
        <f t="shared" si="118"/>
        <v>0.56999999999999995</v>
      </c>
      <c r="H306" s="46">
        <f t="shared" si="118"/>
        <v>0.72</v>
      </c>
      <c r="I306" s="46">
        <f t="shared" si="118"/>
        <v>1.06</v>
      </c>
      <c r="J306" s="46">
        <f t="shared" si="118"/>
        <v>1.23</v>
      </c>
      <c r="K306" s="46">
        <f t="shared" si="118"/>
        <v>1.52</v>
      </c>
      <c r="L306" s="46">
        <f>ROUND(FORECAST($C$26,L304:L305,L302:L303),2)</f>
        <v>1.64</v>
      </c>
      <c r="M306" s="46">
        <f t="shared" ref="M306" si="119">ROUND(FORECAST($C$26,M304:M305,M302:M303),2)</f>
        <v>1.83</v>
      </c>
    </row>
    <row r="307" spans="2:14">
      <c r="B307" t="s">
        <v>242</v>
      </c>
      <c r="C307" s="46">
        <f>IF(C306&lt;20%,0,C306)</f>
        <v>0</v>
      </c>
      <c r="D307" s="46">
        <f t="shared" ref="D307:L307" si="120">IF(D306&lt;20%,0,D306)</f>
        <v>0</v>
      </c>
      <c r="E307" s="46">
        <f t="shared" si="120"/>
        <v>0.25</v>
      </c>
      <c r="F307" s="46">
        <f t="shared" si="120"/>
        <v>0.34</v>
      </c>
      <c r="G307" s="46">
        <f t="shared" si="120"/>
        <v>0.56999999999999995</v>
      </c>
      <c r="H307" s="46">
        <f t="shared" si="120"/>
        <v>0.72</v>
      </c>
      <c r="I307" s="46">
        <f t="shared" si="120"/>
        <v>1.06</v>
      </c>
      <c r="J307" s="46">
        <f t="shared" si="120"/>
        <v>1.23</v>
      </c>
      <c r="K307" s="46">
        <f t="shared" si="120"/>
        <v>1.52</v>
      </c>
      <c r="L307" s="46">
        <f t="shared" si="120"/>
        <v>1.64</v>
      </c>
      <c r="M307" s="46">
        <f t="shared" ref="M307" si="121">IF(M306&lt;20%,0,M306)</f>
        <v>1.83</v>
      </c>
    </row>
    <row r="308" spans="2:14">
      <c r="B308" t="s">
        <v>241</v>
      </c>
      <c r="C308" s="82">
        <f>100%-C307</f>
        <v>1</v>
      </c>
      <c r="D308" s="82">
        <f t="shared" ref="D308:L308" si="122">100%-D307</f>
        <v>1</v>
      </c>
      <c r="E308" s="82">
        <f t="shared" si="122"/>
        <v>0.75</v>
      </c>
      <c r="F308" s="82">
        <f t="shared" si="122"/>
        <v>0.65999999999999992</v>
      </c>
      <c r="G308" s="82">
        <f t="shared" si="122"/>
        <v>0.43000000000000005</v>
      </c>
      <c r="H308" s="82">
        <f t="shared" si="122"/>
        <v>0.28000000000000003</v>
      </c>
      <c r="I308" s="82">
        <f t="shared" si="122"/>
        <v>-6.0000000000000053E-2</v>
      </c>
      <c r="J308" s="82">
        <f t="shared" si="122"/>
        <v>-0.22999999999999998</v>
      </c>
      <c r="K308" s="82">
        <f t="shared" si="122"/>
        <v>-0.52</v>
      </c>
      <c r="L308" s="82">
        <f t="shared" si="122"/>
        <v>-0.6399999999999999</v>
      </c>
      <c r="M308" s="46">
        <f t="shared" ref="M308" si="123">100%-M307</f>
        <v>-0.83000000000000007</v>
      </c>
    </row>
    <row r="309" spans="2:14">
      <c r="B309" t="s">
        <v>244</v>
      </c>
      <c r="C309" s="46">
        <f t="shared" ref="C309:G309" si="124">IFERROR(MROUND(C308,0.05),MROUND(C308,-0.05))</f>
        <v>1</v>
      </c>
      <c r="D309" s="46">
        <f t="shared" si="124"/>
        <v>1</v>
      </c>
      <c r="E309" s="46">
        <f t="shared" si="124"/>
        <v>0.75</v>
      </c>
      <c r="F309" s="46">
        <f t="shared" si="124"/>
        <v>0.65</v>
      </c>
      <c r="G309" s="46">
        <f t="shared" si="124"/>
        <v>0.45</v>
      </c>
      <c r="H309" s="46">
        <f>IFERROR(MROUND(H308,0.05),MROUND(H308,-0.05))</f>
        <v>0.30000000000000004</v>
      </c>
      <c r="I309" s="46">
        <f t="shared" ref="I309:L309" si="125">IFERROR(MROUND(I308,0.05),MROUND(I308,-0.05))</f>
        <v>-0.05</v>
      </c>
      <c r="J309" s="46">
        <f t="shared" si="125"/>
        <v>-0.25</v>
      </c>
      <c r="K309" s="46">
        <f t="shared" si="125"/>
        <v>-0.5</v>
      </c>
      <c r="L309" s="46">
        <f t="shared" si="125"/>
        <v>-0.65</v>
      </c>
      <c r="M309" s="46">
        <f t="shared" ref="M309" si="126">IFERROR(MROUND(M308,0.05),MROUND(M308,-0.05))</f>
        <v>-0.85000000000000009</v>
      </c>
    </row>
    <row r="310" spans="2:14">
      <c r="C310">
        <v>13.3</v>
      </c>
      <c r="D310">
        <v>13.3</v>
      </c>
      <c r="E310">
        <v>18.600000000000001</v>
      </c>
      <c r="F310">
        <v>18.600000000000001</v>
      </c>
      <c r="G310">
        <v>26</v>
      </c>
      <c r="H310">
        <v>26</v>
      </c>
      <c r="I310">
        <v>36.5</v>
      </c>
      <c r="J310">
        <v>36.5</v>
      </c>
      <c r="K310">
        <v>51</v>
      </c>
      <c r="L310">
        <v>51</v>
      </c>
      <c r="M310">
        <v>68.3</v>
      </c>
    </row>
    <row r="311" spans="2:14">
      <c r="B311" t="s">
        <v>238</v>
      </c>
      <c r="C311">
        <f>C308*C310</f>
        <v>13.3</v>
      </c>
      <c r="D311">
        <f t="shared" ref="D311:L311" si="127">D308*D310</f>
        <v>13.3</v>
      </c>
      <c r="E311">
        <f t="shared" si="127"/>
        <v>13.950000000000001</v>
      </c>
      <c r="F311">
        <f t="shared" si="127"/>
        <v>12.276</v>
      </c>
      <c r="G311">
        <f t="shared" si="127"/>
        <v>11.180000000000001</v>
      </c>
      <c r="H311">
        <f t="shared" si="127"/>
        <v>7.2800000000000011</v>
      </c>
      <c r="I311">
        <f t="shared" si="127"/>
        <v>-2.1900000000000022</v>
      </c>
      <c r="J311">
        <f t="shared" si="127"/>
        <v>-8.3949999999999996</v>
      </c>
      <c r="K311">
        <f t="shared" si="127"/>
        <v>-26.52</v>
      </c>
      <c r="L311">
        <f t="shared" si="127"/>
        <v>-32.639999999999993</v>
      </c>
      <c r="M311">
        <f t="shared" ref="M311" si="128">M308*M310</f>
        <v>-56.689</v>
      </c>
    </row>
    <row r="312" spans="2:14">
      <c r="B312" t="s">
        <v>247</v>
      </c>
      <c r="C312">
        <f>C309*C310</f>
        <v>13.3</v>
      </c>
      <c r="D312">
        <f t="shared" ref="D312:L312" si="129">D309*D310</f>
        <v>13.3</v>
      </c>
      <c r="E312">
        <f t="shared" si="129"/>
        <v>13.950000000000001</v>
      </c>
      <c r="F312">
        <f t="shared" si="129"/>
        <v>12.090000000000002</v>
      </c>
      <c r="G312">
        <f t="shared" si="129"/>
        <v>11.700000000000001</v>
      </c>
      <c r="H312">
        <f t="shared" si="129"/>
        <v>7.8000000000000007</v>
      </c>
      <c r="I312">
        <f t="shared" si="129"/>
        <v>-1.8250000000000002</v>
      </c>
      <c r="J312">
        <f t="shared" si="129"/>
        <v>-9.125</v>
      </c>
      <c r="K312">
        <f t="shared" si="129"/>
        <v>-25.5</v>
      </c>
      <c r="L312">
        <f t="shared" si="129"/>
        <v>-33.15</v>
      </c>
      <c r="M312">
        <f t="shared" ref="M312" si="130">M309*M310</f>
        <v>-58.055000000000007</v>
      </c>
    </row>
    <row r="315" spans="2:14" ht="19.899999999999999" thickBot="1">
      <c r="B315" s="27" t="s">
        <v>391</v>
      </c>
    </row>
    <row r="316" spans="2:14" ht="14.65" thickTop="1"/>
    <row r="317" spans="2:14">
      <c r="B317" t="s">
        <v>392</v>
      </c>
      <c r="C317" t="str">
        <f>C254</f>
        <v>-</v>
      </c>
      <c r="D317">
        <f t="shared" ref="D317:M318" si="131">D254</f>
        <v>44.5</v>
      </c>
      <c r="E317">
        <f t="shared" si="131"/>
        <v>19.600000000000001</v>
      </c>
      <c r="F317">
        <f t="shared" si="131"/>
        <v>17.2</v>
      </c>
      <c r="G317">
        <f t="shared" si="131"/>
        <v>15.5</v>
      </c>
      <c r="H317">
        <f t="shared" si="131"/>
        <v>14.9</v>
      </c>
      <c r="I317">
        <f t="shared" si="131"/>
        <v>13.6</v>
      </c>
      <c r="J317">
        <f t="shared" si="131"/>
        <v>13.4</v>
      </c>
      <c r="K317">
        <f t="shared" si="131"/>
        <v>13</v>
      </c>
      <c r="L317">
        <f t="shared" si="131"/>
        <v>12.9</v>
      </c>
      <c r="M317">
        <f t="shared" si="131"/>
        <v>12.7</v>
      </c>
    </row>
    <row r="318" spans="2:14">
      <c r="B318" t="s">
        <v>393</v>
      </c>
      <c r="C318" t="str">
        <f>C255</f>
        <v>-</v>
      </c>
      <c r="D318">
        <f t="shared" si="131"/>
        <v>31.2</v>
      </c>
      <c r="E318">
        <f t="shared" si="131"/>
        <v>7</v>
      </c>
      <c r="F318">
        <f t="shared" si="131"/>
        <v>6.3</v>
      </c>
      <c r="G318">
        <f t="shared" si="131"/>
        <v>5.7</v>
      </c>
      <c r="H318">
        <f t="shared" si="131"/>
        <v>5.5</v>
      </c>
      <c r="I318">
        <f t="shared" si="131"/>
        <v>5.0999999999999996</v>
      </c>
      <c r="J318">
        <f t="shared" si="131"/>
        <v>5.0999999999999996</v>
      </c>
      <c r="K318">
        <f t="shared" si="131"/>
        <v>4.9000000000000004</v>
      </c>
      <c r="L318">
        <f t="shared" si="131"/>
        <v>4.9000000000000004</v>
      </c>
      <c r="M318">
        <f t="shared" si="131"/>
        <v>4.8</v>
      </c>
    </row>
    <row r="319" spans="2:14">
      <c r="B319" t="s">
        <v>394</v>
      </c>
      <c r="C319" t="b">
        <f>C318&gt;C317</f>
        <v>0</v>
      </c>
      <c r="D319" t="b">
        <f t="shared" ref="D319:M319" si="132">D318&gt;D317</f>
        <v>0</v>
      </c>
      <c r="E319" t="b">
        <f t="shared" si="132"/>
        <v>0</v>
      </c>
      <c r="F319" t="b">
        <f t="shared" si="132"/>
        <v>0</v>
      </c>
      <c r="G319" t="b">
        <f t="shared" si="132"/>
        <v>0</v>
      </c>
      <c r="H319" t="b">
        <f t="shared" si="132"/>
        <v>0</v>
      </c>
      <c r="I319" t="b">
        <f t="shared" si="132"/>
        <v>0</v>
      </c>
      <c r="J319" t="b">
        <f t="shared" si="132"/>
        <v>0</v>
      </c>
      <c r="K319" t="b">
        <f t="shared" si="132"/>
        <v>0</v>
      </c>
      <c r="L319" t="b">
        <f t="shared" si="132"/>
        <v>0</v>
      </c>
      <c r="M319" t="b">
        <f t="shared" si="132"/>
        <v>0</v>
      </c>
      <c r="N319" t="b">
        <f>OR(C319:M319)</f>
        <v>0</v>
      </c>
    </row>
  </sheetData>
  <conditionalFormatting sqref="R80:R81">
    <cfRule type="expression" priority="476">
      <formula>OR(NOT($C$25),$M$267)</formula>
    </cfRule>
  </conditionalFormatting>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9E3BE-277A-4269-ABAA-17EF929D926F}">
  <dimension ref="A1:V11"/>
  <sheetViews>
    <sheetView workbookViewId="0"/>
  </sheetViews>
  <sheetFormatPr defaultRowHeight="14.25"/>
  <sheetData>
    <row r="1" spans="1:22">
      <c r="A1" s="296"/>
      <c r="B1" s="3"/>
      <c r="C1" s="4"/>
      <c r="D1" s="4"/>
      <c r="E1" s="4"/>
      <c r="F1" s="4"/>
      <c r="G1" s="4"/>
      <c r="H1" s="4"/>
      <c r="I1" s="4"/>
      <c r="J1" s="4"/>
      <c r="K1" s="4"/>
      <c r="L1" s="4"/>
      <c r="M1" s="4"/>
      <c r="N1" s="4"/>
      <c r="O1" s="4"/>
      <c r="P1" s="4"/>
      <c r="Q1" s="4"/>
      <c r="R1" s="4"/>
      <c r="S1" s="4"/>
      <c r="T1" s="4"/>
      <c r="U1" s="4"/>
      <c r="V1" s="297"/>
    </row>
    <row r="2" spans="1:22">
      <c r="A2" s="296"/>
      <c r="B2" s="4"/>
      <c r="C2" s="4"/>
      <c r="D2" s="4"/>
      <c r="E2" s="4"/>
      <c r="F2" s="4"/>
      <c r="G2" s="4"/>
      <c r="H2" s="4"/>
      <c r="I2" s="4"/>
      <c r="J2" s="4"/>
      <c r="K2" s="4"/>
      <c r="L2" s="4"/>
      <c r="M2" s="4"/>
      <c r="N2" s="4"/>
      <c r="O2" s="4"/>
      <c r="P2" s="4"/>
      <c r="Q2" s="4"/>
      <c r="R2" s="4"/>
      <c r="S2" s="4"/>
      <c r="T2" s="4"/>
      <c r="U2" s="4"/>
      <c r="V2" s="298"/>
    </row>
    <row r="3" spans="1:22">
      <c r="A3" s="296"/>
      <c r="B3" s="4"/>
      <c r="C3" s="4"/>
      <c r="D3" s="4"/>
      <c r="E3" s="4"/>
      <c r="F3" s="4"/>
      <c r="G3" s="4"/>
      <c r="H3" s="4"/>
      <c r="I3" s="4"/>
      <c r="J3" s="4"/>
      <c r="K3" s="4"/>
      <c r="L3" s="4"/>
      <c r="M3" s="4"/>
      <c r="N3" s="4"/>
      <c r="O3" s="4"/>
      <c r="P3" s="4"/>
      <c r="Q3" s="4"/>
      <c r="R3" s="4"/>
      <c r="S3" s="4"/>
      <c r="T3" s="4"/>
      <c r="U3" s="4"/>
      <c r="V3" s="298"/>
    </row>
    <row r="4" spans="1:22">
      <c r="A4" s="296"/>
      <c r="B4" s="4"/>
      <c r="C4" s="4"/>
      <c r="D4" s="4"/>
      <c r="E4" s="4"/>
      <c r="F4" s="4"/>
      <c r="G4" s="4"/>
      <c r="H4" s="4"/>
      <c r="I4" s="4"/>
      <c r="J4" s="4"/>
      <c r="K4" s="4"/>
      <c r="L4" s="4"/>
      <c r="M4" s="4"/>
      <c r="N4" s="4"/>
      <c r="O4" s="4"/>
      <c r="P4" s="4"/>
      <c r="Q4" s="4"/>
      <c r="R4" s="4"/>
      <c r="S4" s="4"/>
      <c r="T4" s="4"/>
      <c r="U4" s="4"/>
      <c r="V4" s="298"/>
    </row>
    <row r="5" spans="1:22" ht="20.25">
      <c r="B5" s="218"/>
      <c r="C5" s="295"/>
      <c r="D5" s="295"/>
      <c r="E5" s="295"/>
      <c r="F5" s="295"/>
      <c r="G5" s="295"/>
      <c r="H5" s="295"/>
      <c r="I5" s="295"/>
      <c r="J5" s="295"/>
      <c r="K5" s="295"/>
      <c r="L5" s="295"/>
      <c r="M5" s="295"/>
      <c r="N5" s="295"/>
      <c r="O5" s="295"/>
      <c r="P5" s="295"/>
      <c r="Q5" s="295"/>
      <c r="R5" s="295"/>
      <c r="S5" s="295"/>
      <c r="T5" s="295"/>
      <c r="U5" s="295"/>
      <c r="V5" s="299"/>
    </row>
    <row r="6" spans="1:22" ht="20.25">
      <c r="B6" s="218"/>
      <c r="C6" s="295"/>
      <c r="D6" s="295"/>
      <c r="E6" s="295"/>
      <c r="F6" s="295"/>
      <c r="G6" s="295"/>
      <c r="H6" s="295"/>
      <c r="I6" s="295"/>
      <c r="J6" s="295"/>
      <c r="K6" s="295"/>
      <c r="L6" s="295"/>
      <c r="M6" s="295"/>
      <c r="N6" s="295"/>
      <c r="O6" s="295"/>
      <c r="P6" s="295"/>
      <c r="Q6" s="295"/>
      <c r="R6" s="295"/>
      <c r="S6" s="295"/>
      <c r="T6" s="295"/>
      <c r="U6" s="295"/>
      <c r="V6" s="299"/>
    </row>
    <row r="7" spans="1:22">
      <c r="B7" s="13"/>
      <c r="C7" s="14"/>
      <c r="D7" s="14"/>
      <c r="E7" s="14"/>
      <c r="F7" s="14"/>
      <c r="G7" s="14"/>
      <c r="H7" s="14"/>
      <c r="I7" s="14"/>
      <c r="J7" s="14"/>
      <c r="K7" s="14"/>
      <c r="L7" s="14"/>
      <c r="M7" s="14"/>
      <c r="N7" s="14"/>
      <c r="O7" s="14"/>
      <c r="P7" s="14"/>
      <c r="Q7" s="14"/>
      <c r="R7" s="14"/>
      <c r="S7" s="14"/>
      <c r="T7" s="14"/>
      <c r="U7" s="14"/>
      <c r="V7" s="300"/>
    </row>
    <row r="8" spans="1:22">
      <c r="B8" s="13"/>
      <c r="C8" s="14"/>
      <c r="D8" s="14"/>
      <c r="E8" s="14"/>
      <c r="F8" s="14"/>
      <c r="G8" s="14"/>
      <c r="H8" s="14"/>
      <c r="I8" s="14"/>
      <c r="J8" s="14"/>
      <c r="K8" s="14"/>
      <c r="L8" s="14"/>
      <c r="M8" s="14"/>
      <c r="N8" s="14"/>
      <c r="O8" s="14"/>
      <c r="P8" s="14"/>
      <c r="Q8" s="14"/>
      <c r="R8" s="14"/>
      <c r="S8" s="14"/>
      <c r="T8" s="14"/>
      <c r="U8" s="14"/>
      <c r="V8" s="300"/>
    </row>
    <row r="9" spans="1:22">
      <c r="A9" s="296"/>
      <c r="B9" s="14"/>
      <c r="C9" s="14"/>
      <c r="D9" s="14"/>
      <c r="E9" s="14"/>
      <c r="F9" s="14"/>
      <c r="G9" s="14"/>
      <c r="H9" s="14"/>
      <c r="I9" s="14"/>
      <c r="J9" s="14"/>
      <c r="K9" s="14"/>
      <c r="L9" s="14"/>
      <c r="M9" s="14"/>
      <c r="N9" s="14"/>
      <c r="O9" s="14"/>
      <c r="P9" s="14"/>
      <c r="Q9" s="14"/>
      <c r="R9" s="14"/>
      <c r="S9" s="14"/>
      <c r="T9" s="14"/>
      <c r="U9" s="14"/>
      <c r="V9" s="300"/>
    </row>
    <row r="10" spans="1:22">
      <c r="B10" s="13"/>
      <c r="C10" s="14"/>
      <c r="D10" s="14"/>
      <c r="E10" s="14"/>
      <c r="F10" s="14"/>
      <c r="G10" s="14"/>
      <c r="H10" s="14"/>
      <c r="I10" s="14"/>
      <c r="J10" s="14"/>
      <c r="K10" s="14"/>
      <c r="L10" s="14"/>
      <c r="M10" s="14"/>
      <c r="N10" s="14"/>
      <c r="O10" s="14"/>
      <c r="P10" s="14"/>
      <c r="Q10" s="14"/>
      <c r="R10" s="14"/>
      <c r="S10" s="14"/>
      <c r="T10" s="14"/>
      <c r="U10" s="14"/>
      <c r="V10" s="300"/>
    </row>
    <row r="11" spans="1:22">
      <c r="B11" s="13"/>
      <c r="C11" s="14"/>
      <c r="D11" s="14"/>
      <c r="E11" s="14"/>
      <c r="F11" s="14"/>
      <c r="G11" s="14"/>
      <c r="H11" s="14"/>
      <c r="I11" s="14"/>
      <c r="J11" s="14"/>
      <c r="K11" s="14"/>
      <c r="L11" s="14"/>
      <c r="M11" s="14"/>
      <c r="N11" s="14"/>
      <c r="O11" s="14"/>
      <c r="P11" s="14"/>
      <c r="Q11" s="14"/>
      <c r="R11" s="14"/>
      <c r="S11" s="14"/>
      <c r="T11" s="14"/>
      <c r="U11" s="14"/>
      <c r="V11" s="300"/>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9"/>
  <sheetViews>
    <sheetView zoomScale="85" zoomScaleNormal="85" workbookViewId="0"/>
  </sheetViews>
  <sheetFormatPr defaultRowHeight="14.25"/>
  <cols>
    <col min="2" max="2" width="87.265625" customWidth="1"/>
  </cols>
  <sheetData>
    <row r="1" spans="1:1" ht="279" customHeight="1">
      <c r="A1" s="35">
        <v>250</v>
      </c>
    </row>
    <row r="3" spans="1:1" ht="279" customHeight="1">
      <c r="A3" s="35">
        <v>355</v>
      </c>
    </row>
    <row r="5" spans="1:1" ht="279" customHeight="1">
      <c r="A5" s="35">
        <v>500</v>
      </c>
    </row>
    <row r="7" spans="1:1" ht="279" customHeight="1">
      <c r="A7" s="35">
        <v>710</v>
      </c>
    </row>
    <row r="9" spans="1:1" ht="279" customHeight="1">
      <c r="A9" s="35">
        <v>1000</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2" tint="-9.9978637043366805E-2"/>
  </sheetPr>
  <dimension ref="B1:U67"/>
  <sheetViews>
    <sheetView workbookViewId="0"/>
  </sheetViews>
  <sheetFormatPr defaultRowHeight="14.25"/>
  <cols>
    <col min="3" max="12" width="10.73046875" customWidth="1"/>
  </cols>
  <sheetData>
    <row r="1" spans="2:21">
      <c r="B1" s="154"/>
      <c r="C1" s="155"/>
      <c r="D1" s="155"/>
      <c r="E1" s="155"/>
      <c r="F1" s="155"/>
      <c r="G1" s="155"/>
      <c r="H1" s="155"/>
      <c r="I1" s="155"/>
      <c r="J1" s="155"/>
      <c r="K1" s="156"/>
      <c r="L1" s="155"/>
      <c r="M1" s="155"/>
      <c r="N1" s="155"/>
      <c r="O1" s="155"/>
      <c r="P1" s="155"/>
      <c r="Q1" s="155"/>
      <c r="R1" s="155"/>
      <c r="S1" s="155"/>
      <c r="T1" s="157"/>
    </row>
    <row r="2" spans="2:21" ht="21">
      <c r="B2" s="158"/>
      <c r="C2" s="159" t="s">
        <v>145</v>
      </c>
      <c r="D2" s="156"/>
      <c r="E2" s="156"/>
      <c r="F2" s="156"/>
      <c r="G2" s="160"/>
      <c r="H2" s="160"/>
      <c r="I2" s="160"/>
      <c r="J2" s="160"/>
      <c r="K2" s="156"/>
      <c r="L2" s="160"/>
      <c r="M2" s="160"/>
      <c r="N2" s="160"/>
      <c r="O2" s="160"/>
      <c r="P2" s="160"/>
      <c r="Q2" s="160"/>
      <c r="R2" s="160"/>
      <c r="S2" s="160"/>
      <c r="T2" s="160"/>
    </row>
    <row r="3" spans="2:21" ht="21">
      <c r="B3" s="158"/>
      <c r="C3" s="10" t="s">
        <v>146</v>
      </c>
      <c r="D3" s="156"/>
      <c r="E3" s="156"/>
      <c r="F3" s="156"/>
      <c r="G3" s="160"/>
      <c r="H3" s="160"/>
      <c r="I3" s="160"/>
      <c r="J3" s="160"/>
      <c r="K3" s="156"/>
      <c r="L3" s="160"/>
      <c r="M3" s="160"/>
      <c r="N3" s="160"/>
      <c r="O3" s="160"/>
      <c r="P3" s="160"/>
      <c r="Q3" s="160"/>
      <c r="R3" s="160"/>
      <c r="S3" s="160"/>
      <c r="T3" s="160"/>
    </row>
    <row r="4" spans="2:21" ht="23.25">
      <c r="B4" s="158"/>
      <c r="C4" s="161"/>
      <c r="D4" s="156"/>
      <c r="E4" s="156"/>
      <c r="F4" s="156"/>
      <c r="G4" s="156"/>
      <c r="H4" s="156"/>
      <c r="I4" s="156"/>
      <c r="J4" s="156"/>
      <c r="K4" s="156"/>
      <c r="L4" s="156"/>
      <c r="M4" s="156"/>
      <c r="N4" s="156"/>
      <c r="O4" s="156"/>
      <c r="P4" s="156"/>
      <c r="Q4" s="156"/>
      <c r="R4" s="156"/>
      <c r="S4" s="156"/>
      <c r="T4" s="162"/>
    </row>
    <row r="5" spans="2:21">
      <c r="B5" s="165"/>
      <c r="C5" s="166"/>
      <c r="D5" s="166"/>
      <c r="E5" s="166"/>
      <c r="F5" s="166"/>
      <c r="G5" s="166"/>
      <c r="H5" s="166"/>
      <c r="I5" s="166"/>
      <c r="J5" s="166"/>
      <c r="K5" s="166"/>
      <c r="L5" s="166"/>
      <c r="M5" s="166"/>
      <c r="N5" s="166"/>
      <c r="O5" s="166"/>
      <c r="P5" s="166"/>
      <c r="Q5" s="166"/>
      <c r="R5" s="166"/>
      <c r="S5" s="166"/>
      <c r="T5" s="167"/>
    </row>
    <row r="6" spans="2:21" ht="15.75">
      <c r="B6" s="168"/>
      <c r="C6" s="164" t="s">
        <v>149</v>
      </c>
      <c r="D6" s="170"/>
      <c r="E6" s="57"/>
      <c r="F6" s="57"/>
      <c r="G6" s="57"/>
      <c r="H6" s="57"/>
      <c r="I6" s="57"/>
      <c r="J6" s="57"/>
      <c r="K6" s="57"/>
      <c r="L6" s="57"/>
      <c r="M6" s="57"/>
      <c r="N6" s="57"/>
      <c r="O6" s="57"/>
      <c r="P6" s="57"/>
      <c r="Q6" s="57"/>
      <c r="R6" s="57"/>
      <c r="S6" s="57"/>
      <c r="T6" s="169"/>
    </row>
    <row r="7" spans="2:21">
      <c r="B7" s="168"/>
      <c r="C7" s="57" t="s">
        <v>169</v>
      </c>
      <c r="D7" s="57"/>
      <c r="E7" s="57"/>
      <c r="F7" s="57"/>
      <c r="G7" s="57"/>
      <c r="H7" s="57"/>
      <c r="I7" s="57"/>
      <c r="J7" s="57"/>
      <c r="K7" s="57"/>
      <c r="L7" s="57"/>
      <c r="M7" s="57"/>
      <c r="N7" s="57"/>
      <c r="O7" s="57"/>
      <c r="P7" s="57"/>
      <c r="Q7" s="57"/>
      <c r="R7" s="57"/>
      <c r="S7" s="57"/>
      <c r="T7" s="169"/>
    </row>
    <row r="8" spans="2:21" ht="15.75">
      <c r="B8" s="168"/>
      <c r="C8" s="174"/>
      <c r="D8" s="57"/>
      <c r="E8" s="57"/>
      <c r="F8" s="57"/>
      <c r="G8" s="57"/>
      <c r="H8" s="57"/>
      <c r="I8" s="57"/>
      <c r="J8" s="57"/>
      <c r="K8" s="57"/>
      <c r="L8" s="57"/>
      <c r="M8" s="57"/>
      <c r="N8" s="57"/>
      <c r="O8" s="57"/>
      <c r="P8" s="57"/>
      <c r="Q8" s="57"/>
      <c r="R8" s="57"/>
      <c r="S8" s="57"/>
      <c r="T8" s="169"/>
    </row>
    <row r="9" spans="2:21" ht="15.75">
      <c r="B9" s="168"/>
      <c r="C9" s="163" t="s">
        <v>147</v>
      </c>
      <c r="D9" s="170"/>
      <c r="E9" s="57"/>
      <c r="F9" s="57"/>
      <c r="G9" s="57"/>
      <c r="H9" s="57"/>
      <c r="I9" s="57"/>
      <c r="J9" s="57"/>
      <c r="K9" s="57"/>
      <c r="L9" s="57"/>
      <c r="M9" s="57"/>
      <c r="N9" s="57"/>
      <c r="O9" s="57"/>
      <c r="P9" s="57"/>
      <c r="Q9" s="57"/>
      <c r="R9" s="57"/>
      <c r="S9" s="57"/>
      <c r="T9" s="169"/>
    </row>
    <row r="10" spans="2:21">
      <c r="B10" s="168"/>
      <c r="C10" s="57" t="s">
        <v>148</v>
      </c>
      <c r="D10" s="57"/>
      <c r="E10" s="57"/>
      <c r="F10" s="57"/>
      <c r="G10" s="57"/>
      <c r="H10" s="57"/>
      <c r="I10" s="57"/>
      <c r="J10" s="57"/>
      <c r="K10" s="57"/>
      <c r="L10" s="57"/>
      <c r="M10" s="57"/>
      <c r="N10" s="57"/>
      <c r="O10" s="57"/>
      <c r="P10" s="57"/>
      <c r="Q10" s="57"/>
      <c r="R10" s="57"/>
      <c r="S10" s="57"/>
      <c r="T10" s="169"/>
    </row>
    <row r="11" spans="2:21">
      <c r="B11" s="168"/>
      <c r="C11" s="57"/>
      <c r="D11" s="57"/>
      <c r="E11" s="57"/>
      <c r="F11" s="57"/>
      <c r="G11" s="57"/>
      <c r="H11" s="57"/>
      <c r="I11" s="57"/>
      <c r="J11" s="57"/>
      <c r="K11" s="57"/>
      <c r="L11" s="57"/>
      <c r="M11" s="57"/>
      <c r="N11" s="57"/>
      <c r="O11" s="57"/>
      <c r="P11" s="57"/>
      <c r="Q11" s="57"/>
      <c r="R11" s="57"/>
      <c r="S11" s="57"/>
      <c r="T11" s="169"/>
    </row>
    <row r="12" spans="2:21" ht="15.75">
      <c r="B12" s="168"/>
      <c r="C12" s="163" t="s">
        <v>168</v>
      </c>
      <c r="D12" s="170"/>
      <c r="E12" s="57"/>
      <c r="F12" s="57"/>
      <c r="G12" s="57"/>
      <c r="H12" s="57"/>
      <c r="I12" s="57"/>
      <c r="J12" s="57"/>
      <c r="K12" s="57"/>
      <c r="L12" s="57"/>
      <c r="M12" s="57"/>
      <c r="N12" s="57"/>
      <c r="O12" s="57"/>
      <c r="P12" s="57"/>
      <c r="Q12" s="57"/>
      <c r="R12" s="57"/>
      <c r="S12" s="57"/>
      <c r="T12" s="169"/>
    </row>
    <row r="13" spans="2:21" ht="15.75">
      <c r="B13" s="168"/>
      <c r="C13" s="174"/>
      <c r="D13" s="57"/>
      <c r="E13" s="57"/>
      <c r="F13" s="57"/>
      <c r="G13" s="57"/>
      <c r="H13" s="57"/>
      <c r="I13" s="57"/>
      <c r="J13" s="57"/>
      <c r="K13" s="57"/>
      <c r="L13" s="57"/>
      <c r="M13" s="57"/>
      <c r="N13" s="57"/>
      <c r="O13" s="57"/>
      <c r="P13" s="57"/>
      <c r="Q13" s="57"/>
      <c r="R13" s="57"/>
      <c r="S13" s="57"/>
      <c r="T13" s="169"/>
    </row>
    <row r="14" spans="2:21" ht="18">
      <c r="B14" s="168"/>
      <c r="C14" s="176" t="s">
        <v>122</v>
      </c>
      <c r="D14" s="177" t="s">
        <v>162</v>
      </c>
      <c r="E14" s="177" t="s">
        <v>163</v>
      </c>
      <c r="F14" s="177" t="s">
        <v>152</v>
      </c>
      <c r="G14" s="177" t="s">
        <v>164</v>
      </c>
      <c r="H14" s="177" t="s">
        <v>154</v>
      </c>
      <c r="I14" s="177" t="s">
        <v>165</v>
      </c>
      <c r="J14" s="177" t="s">
        <v>166</v>
      </c>
      <c r="K14" s="177" t="s">
        <v>167</v>
      </c>
      <c r="L14" s="178" t="s">
        <v>158</v>
      </c>
      <c r="M14" s="241" t="s">
        <v>263</v>
      </c>
      <c r="N14" s="57"/>
      <c r="O14" s="57"/>
      <c r="P14" s="57"/>
      <c r="Q14" s="57"/>
      <c r="R14" s="57"/>
      <c r="S14" s="57"/>
      <c r="T14" s="169"/>
      <c r="U14" s="185"/>
    </row>
    <row r="15" spans="2:21" ht="31.9" thickBot="1">
      <c r="B15" s="168"/>
      <c r="C15" s="179" t="s">
        <v>36</v>
      </c>
      <c r="D15" s="180">
        <f>VLOOKUP($C$15,'HSC-AD data'!$C$57:$L$61,2,0)</f>
        <v>395</v>
      </c>
      <c r="E15" s="181">
        <f>VLOOKUP($C$15,'HSC-AD data'!$C$57:$L$61,3,0)</f>
        <v>530</v>
      </c>
      <c r="F15" s="184" t="str">
        <f>VLOOKUP($C$15,'HSC-AD data'!$C$57:$L$61,4,0)</f>
        <v>445, 595, 603</v>
      </c>
      <c r="G15" s="181">
        <f>VLOOKUP($C$15,'HSC-AD data'!$C$57:$L$61,5,0)</f>
        <v>354</v>
      </c>
      <c r="H15" s="181">
        <f>VLOOKUP($C$15,'HSC-AD data'!$C$57:$L$61,6,0)</f>
        <v>495</v>
      </c>
      <c r="I15" s="181">
        <f>VLOOKUP($C$15,'HSC-AD data'!$C$57:$L$61,7,0)</f>
        <v>550</v>
      </c>
      <c r="J15" s="181">
        <f>VLOOKUP($C$15,'HSC-AD data'!$C$57:$L$61,8,0)</f>
        <v>20</v>
      </c>
      <c r="K15" s="181">
        <f>VLOOKUP($C$15,'HSC-AD data'!$C$57:$L$61,9,0)</f>
        <v>80</v>
      </c>
      <c r="L15" s="182">
        <f>VLOOKUP($C$15,'HSC-AD data'!$C$57:$L$61,10,0)</f>
        <v>320</v>
      </c>
      <c r="M15" s="183" t="s">
        <v>159</v>
      </c>
      <c r="N15" s="57"/>
      <c r="O15" s="57"/>
      <c r="P15" s="57"/>
      <c r="Q15" s="57"/>
      <c r="R15" s="57"/>
      <c r="S15" s="57"/>
      <c r="T15" s="169"/>
    </row>
    <row r="16" spans="2:21" ht="16.149999999999999" thickTop="1">
      <c r="B16" s="168"/>
      <c r="C16" s="186"/>
      <c r="D16" s="186"/>
      <c r="E16" s="186"/>
      <c r="F16" s="186"/>
      <c r="G16" s="186"/>
      <c r="H16" s="186"/>
      <c r="I16" s="186"/>
      <c r="J16" s="186"/>
      <c r="K16" s="186"/>
      <c r="L16" s="175"/>
      <c r="M16" s="175"/>
      <c r="N16" s="175"/>
      <c r="O16" s="175"/>
      <c r="P16" s="57"/>
      <c r="Q16" s="57"/>
      <c r="R16" s="57"/>
      <c r="S16" s="57"/>
      <c r="T16" s="169"/>
    </row>
    <row r="17" spans="2:20">
      <c r="B17" s="190"/>
      <c r="C17" s="191" t="str">
        <f>"DN = "&amp;D18</f>
        <v>DN = 355</v>
      </c>
      <c r="D17" s="175" t="str">
        <f>D14&amp;" = "&amp;D15</f>
        <v>D2 = 395</v>
      </c>
      <c r="E17" s="175" t="str">
        <f t="shared" ref="E17:L17" si="0">E14&amp;" = "&amp;E15</f>
        <v>D4 = 530</v>
      </c>
      <c r="F17" s="175" t="str">
        <f t="shared" si="0"/>
        <v>E = 445, 595, 603</v>
      </c>
      <c r="G17" s="175" t="str">
        <f t="shared" si="0"/>
        <v>D5 = 354</v>
      </c>
      <c r="H17" s="175" t="str">
        <f t="shared" si="0"/>
        <v>L = 495</v>
      </c>
      <c r="I17" s="175" t="str">
        <f t="shared" si="0"/>
        <v>H1 = 550</v>
      </c>
      <c r="J17" s="175" t="str">
        <f t="shared" si="0"/>
        <v>H2 = 20</v>
      </c>
      <c r="K17" s="175" t="str">
        <f t="shared" si="0"/>
        <v>H3 = 80</v>
      </c>
      <c r="L17" s="175" t="str">
        <f t="shared" si="0"/>
        <v>F = 320</v>
      </c>
      <c r="M17" s="175"/>
      <c r="N17" s="175"/>
      <c r="O17" s="175"/>
      <c r="P17" s="57"/>
      <c r="Q17" s="57"/>
      <c r="R17" s="57"/>
      <c r="S17" s="57"/>
      <c r="T17" s="169"/>
    </row>
    <row r="18" spans="2:20" ht="15.75">
      <c r="B18" s="190"/>
      <c r="C18" s="192" t="str">
        <f>"&gt; "&amp; VLOOKUP($C$15,'HSC-AD data'!$C$57:$M$61,11,0) &amp;"(1×DN)"</f>
        <v>&gt; 355(1×DN)</v>
      </c>
      <c r="D18" s="187">
        <f>VLOOKUP($C$15,'HSC-AD data'!$C$57:$M$61,11,0)</f>
        <v>355</v>
      </c>
      <c r="E18" s="175"/>
      <c r="F18" s="188"/>
      <c r="G18" s="175"/>
      <c r="H18" s="175"/>
      <c r="I18" s="175"/>
      <c r="J18" s="175"/>
      <c r="K18" s="175"/>
      <c r="L18" s="175"/>
      <c r="M18" s="175"/>
      <c r="N18" s="175"/>
      <c r="O18" s="175"/>
      <c r="P18" s="57"/>
      <c r="Q18" s="57"/>
      <c r="R18" s="57"/>
      <c r="S18" s="57"/>
      <c r="T18" s="169"/>
    </row>
    <row r="19" spans="2:20">
      <c r="B19" s="190"/>
      <c r="C19" s="191" t="str">
        <f>"D4 = Ø"&amp;E15&amp;" OR       E = □"&amp;F15</f>
        <v>D4 = Ø530 OR       E = □445, 595, 603</v>
      </c>
      <c r="D19" s="175"/>
      <c r="E19" s="175"/>
      <c r="F19" s="175"/>
      <c r="G19" s="189"/>
      <c r="H19" s="175"/>
      <c r="I19" s="175"/>
      <c r="J19" s="175"/>
      <c r="K19" s="175"/>
      <c r="L19" s="175"/>
      <c r="M19" s="175"/>
      <c r="N19" s="175"/>
      <c r="O19" s="175"/>
      <c r="P19" s="57"/>
      <c r="Q19" s="57"/>
      <c r="R19" s="57"/>
      <c r="S19" s="57"/>
      <c r="T19" s="169"/>
    </row>
    <row r="20" spans="2:20" ht="15.75">
      <c r="B20" s="168"/>
      <c r="C20" s="186"/>
      <c r="D20" s="175"/>
      <c r="E20" s="175"/>
      <c r="F20" s="175"/>
      <c r="G20" s="175"/>
      <c r="H20" s="175"/>
      <c r="I20" s="175"/>
      <c r="J20" s="175"/>
      <c r="K20" s="175"/>
      <c r="L20" s="175"/>
      <c r="M20" s="175"/>
      <c r="N20" s="175"/>
      <c r="O20" s="175"/>
      <c r="P20" s="57"/>
      <c r="Q20" s="57"/>
      <c r="R20" s="57"/>
      <c r="S20" s="57"/>
      <c r="T20" s="169"/>
    </row>
    <row r="21" spans="2:20" ht="15.75">
      <c r="B21" s="168"/>
      <c r="C21" s="186"/>
      <c r="D21" s="175"/>
      <c r="E21" s="175"/>
      <c r="F21" s="175"/>
      <c r="G21" s="175"/>
      <c r="H21" s="175"/>
      <c r="I21" s="175"/>
      <c r="J21" s="175"/>
      <c r="K21" s="175"/>
      <c r="L21" s="175"/>
      <c r="M21" s="175"/>
      <c r="N21" s="175"/>
      <c r="O21" s="175"/>
      <c r="P21" s="57"/>
      <c r="Q21" s="57"/>
      <c r="R21" s="57"/>
      <c r="S21" s="57"/>
      <c r="T21" s="169"/>
    </row>
    <row r="22" spans="2:20" ht="15.75">
      <c r="B22" s="168"/>
      <c r="C22" s="186"/>
      <c r="D22" s="175"/>
      <c r="E22" s="175"/>
      <c r="F22" s="175"/>
      <c r="G22" s="175"/>
      <c r="H22" s="175"/>
      <c r="I22" s="175"/>
      <c r="J22" s="175"/>
      <c r="K22" s="175"/>
      <c r="L22" s="175"/>
      <c r="M22" s="175"/>
      <c r="N22" s="175"/>
      <c r="O22" s="175"/>
      <c r="P22" s="57"/>
      <c r="Q22" s="57"/>
      <c r="R22" s="57"/>
      <c r="S22" s="57"/>
      <c r="T22" s="169"/>
    </row>
    <row r="23" spans="2:20" ht="15.75">
      <c r="B23" s="168"/>
      <c r="C23" s="186"/>
      <c r="D23" s="175"/>
      <c r="E23" s="175"/>
      <c r="F23" s="175"/>
      <c r="G23" s="175"/>
      <c r="H23" s="175"/>
      <c r="I23" s="175"/>
      <c r="J23" s="175"/>
      <c r="K23" s="175"/>
      <c r="L23" s="175"/>
      <c r="M23" s="175"/>
      <c r="N23" s="175"/>
      <c r="O23" s="175"/>
      <c r="P23" s="57"/>
      <c r="Q23" s="57"/>
      <c r="R23" s="57"/>
      <c r="S23" s="57"/>
      <c r="T23" s="169"/>
    </row>
    <row r="24" spans="2:20" ht="15.75">
      <c r="B24" s="168"/>
      <c r="C24" s="186"/>
      <c r="D24" s="175"/>
      <c r="E24" s="175"/>
      <c r="F24" s="175"/>
      <c r="G24" s="175"/>
      <c r="H24" s="175"/>
      <c r="I24" s="175"/>
      <c r="J24" s="175"/>
      <c r="K24" s="175"/>
      <c r="L24" s="175"/>
      <c r="M24" s="175"/>
      <c r="N24" s="175"/>
      <c r="O24" s="175"/>
      <c r="P24" s="57"/>
      <c r="Q24" s="57"/>
      <c r="R24" s="57"/>
      <c r="S24" s="57"/>
      <c r="T24" s="169"/>
    </row>
    <row r="25" spans="2:20" ht="15.75">
      <c r="B25" s="168"/>
      <c r="C25" s="186"/>
      <c r="D25" s="175"/>
      <c r="E25" s="175"/>
      <c r="F25" s="175"/>
      <c r="G25" s="175"/>
      <c r="H25" s="175"/>
      <c r="I25" s="175"/>
      <c r="J25" s="175"/>
      <c r="K25" s="175"/>
      <c r="L25" s="175"/>
      <c r="M25" s="175"/>
      <c r="N25" s="175"/>
      <c r="O25" s="175"/>
      <c r="P25" s="57"/>
      <c r="Q25" s="57"/>
      <c r="R25" s="57"/>
      <c r="S25" s="57"/>
      <c r="T25" s="169"/>
    </row>
    <row r="26" spans="2:20" ht="15.75">
      <c r="B26" s="168"/>
      <c r="C26" s="186"/>
      <c r="D26" s="175"/>
      <c r="E26" s="175"/>
      <c r="F26" s="175"/>
      <c r="G26" s="175"/>
      <c r="H26" s="175"/>
      <c r="I26" s="175"/>
      <c r="J26" s="175"/>
      <c r="K26" s="175"/>
      <c r="L26" s="175"/>
      <c r="M26" s="175"/>
      <c r="N26" s="175"/>
      <c r="O26" s="175"/>
      <c r="P26" s="57"/>
      <c r="Q26" s="57"/>
      <c r="R26" s="57"/>
      <c r="S26" s="57"/>
      <c r="T26" s="169"/>
    </row>
    <row r="27" spans="2:20" ht="15.75">
      <c r="B27" s="168"/>
      <c r="C27" s="186"/>
      <c r="D27" s="175"/>
      <c r="E27" s="175"/>
      <c r="F27" s="175"/>
      <c r="G27" s="175"/>
      <c r="H27" s="175"/>
      <c r="I27" s="175"/>
      <c r="J27" s="175"/>
      <c r="K27" s="175"/>
      <c r="L27" s="175"/>
      <c r="M27" s="175"/>
      <c r="N27" s="175"/>
      <c r="O27" s="175"/>
      <c r="P27" s="57"/>
      <c r="Q27" s="57"/>
      <c r="R27" s="57"/>
      <c r="S27" s="57"/>
      <c r="T27" s="169"/>
    </row>
    <row r="28" spans="2:20" ht="15.75">
      <c r="B28" s="168"/>
      <c r="C28" s="186"/>
      <c r="D28" s="175"/>
      <c r="E28" s="175"/>
      <c r="F28" s="175"/>
      <c r="G28" s="175"/>
      <c r="H28" s="175"/>
      <c r="I28" s="175"/>
      <c r="J28" s="175"/>
      <c r="K28" s="175"/>
      <c r="L28" s="175"/>
      <c r="M28" s="175"/>
      <c r="N28" s="175"/>
      <c r="O28" s="175"/>
      <c r="P28" s="57"/>
      <c r="Q28" s="57"/>
      <c r="R28" s="57"/>
      <c r="S28" s="57"/>
      <c r="T28" s="169"/>
    </row>
    <row r="29" spans="2:20" ht="15.75">
      <c r="B29" s="168"/>
      <c r="C29" s="186"/>
      <c r="D29" s="175"/>
      <c r="E29" s="175"/>
      <c r="F29" s="175"/>
      <c r="G29" s="175"/>
      <c r="H29" s="175"/>
      <c r="I29" s="175"/>
      <c r="J29" s="175"/>
      <c r="K29" s="175"/>
      <c r="L29" s="175"/>
      <c r="M29" s="175"/>
      <c r="N29" s="175"/>
      <c r="O29" s="175"/>
      <c r="P29" s="57"/>
      <c r="Q29" s="57"/>
      <c r="R29" s="57"/>
      <c r="S29" s="57"/>
      <c r="T29" s="169"/>
    </row>
    <row r="30" spans="2:20" ht="15.75">
      <c r="B30" s="168"/>
      <c r="C30" s="186"/>
      <c r="D30" s="175"/>
      <c r="E30" s="175"/>
      <c r="F30" s="175"/>
      <c r="G30" s="175"/>
      <c r="H30" s="175"/>
      <c r="I30" s="175"/>
      <c r="J30" s="175"/>
      <c r="K30" s="175"/>
      <c r="L30" s="175"/>
      <c r="M30" s="175"/>
      <c r="N30" s="175"/>
      <c r="O30" s="175"/>
      <c r="P30" s="57"/>
      <c r="Q30" s="57"/>
      <c r="R30" s="57"/>
      <c r="S30" s="57"/>
      <c r="T30" s="169"/>
    </row>
    <row r="31" spans="2:20" ht="15.75">
      <c r="B31" s="168"/>
      <c r="C31" s="186"/>
      <c r="D31" s="175"/>
      <c r="E31" s="175"/>
      <c r="F31" s="175"/>
      <c r="G31" s="175"/>
      <c r="H31" s="175"/>
      <c r="I31" s="175"/>
      <c r="J31" s="175"/>
      <c r="K31" s="175"/>
      <c r="L31" s="175"/>
      <c r="M31" s="175"/>
      <c r="N31" s="175"/>
      <c r="O31" s="175"/>
      <c r="P31" s="57"/>
      <c r="Q31" s="57"/>
      <c r="R31" s="57"/>
      <c r="S31" s="57"/>
      <c r="T31" s="169"/>
    </row>
    <row r="32" spans="2:20" ht="15.75">
      <c r="B32" s="168"/>
      <c r="C32" s="186"/>
      <c r="D32" s="175"/>
      <c r="E32" s="175"/>
      <c r="F32" s="175"/>
      <c r="G32" s="175"/>
      <c r="H32" s="175"/>
      <c r="I32" s="175"/>
      <c r="J32" s="175"/>
      <c r="K32" s="175"/>
      <c r="L32" s="175"/>
      <c r="M32" s="175"/>
      <c r="N32" s="175"/>
      <c r="O32" s="175"/>
      <c r="P32" s="57"/>
      <c r="Q32" s="57"/>
      <c r="R32" s="57"/>
      <c r="S32" s="57"/>
      <c r="T32" s="169"/>
    </row>
    <row r="33" spans="2:20" ht="15.75">
      <c r="B33" s="168"/>
      <c r="C33" s="186"/>
      <c r="D33" s="175"/>
      <c r="E33" s="175"/>
      <c r="F33" s="175"/>
      <c r="G33" s="175"/>
      <c r="H33" s="175"/>
      <c r="I33" s="175"/>
      <c r="J33" s="175"/>
      <c r="K33" s="175"/>
      <c r="L33" s="175"/>
      <c r="M33" s="175"/>
      <c r="N33" s="175"/>
      <c r="O33" s="175"/>
      <c r="P33" s="57"/>
      <c r="Q33" s="57"/>
      <c r="R33" s="57"/>
      <c r="S33" s="57"/>
      <c r="T33" s="169"/>
    </row>
    <row r="34" spans="2:20" ht="15.75">
      <c r="B34" s="168"/>
      <c r="C34" s="186"/>
      <c r="D34" s="175"/>
      <c r="E34" s="175"/>
      <c r="F34" s="175"/>
      <c r="G34" s="175"/>
      <c r="H34" s="175"/>
      <c r="I34" s="175"/>
      <c r="J34" s="175"/>
      <c r="K34" s="175"/>
      <c r="L34" s="175"/>
      <c r="M34" s="175"/>
      <c r="N34" s="175"/>
      <c r="O34" s="175"/>
      <c r="P34" s="57"/>
      <c r="Q34" s="57"/>
      <c r="R34" s="57"/>
      <c r="S34" s="57"/>
      <c r="T34" s="169"/>
    </row>
    <row r="35" spans="2:20" ht="15.75">
      <c r="B35" s="168"/>
      <c r="C35" s="186"/>
      <c r="D35" s="175"/>
      <c r="E35" s="175"/>
      <c r="F35" s="175"/>
      <c r="G35" s="175"/>
      <c r="H35" s="175"/>
      <c r="I35" s="175"/>
      <c r="J35" s="175"/>
      <c r="K35" s="175"/>
      <c r="L35" s="175"/>
      <c r="M35" s="175"/>
      <c r="N35" s="175"/>
      <c r="O35" s="175"/>
      <c r="P35" s="57"/>
      <c r="Q35" s="57"/>
      <c r="R35" s="57"/>
      <c r="S35" s="57"/>
      <c r="T35" s="169"/>
    </row>
    <row r="36" spans="2:20" ht="15.75">
      <c r="B36" s="168"/>
      <c r="C36" s="186"/>
      <c r="D36" s="175"/>
      <c r="E36" s="175"/>
      <c r="F36" s="175"/>
      <c r="G36" s="175"/>
      <c r="H36" s="175"/>
      <c r="I36" s="175"/>
      <c r="J36" s="175"/>
      <c r="K36" s="175"/>
      <c r="L36" s="175"/>
      <c r="M36" s="175"/>
      <c r="N36" s="175"/>
      <c r="O36" s="175"/>
      <c r="P36" s="57"/>
      <c r="Q36" s="57"/>
      <c r="R36" s="57"/>
      <c r="S36" s="57"/>
      <c r="T36" s="169"/>
    </row>
    <row r="37" spans="2:20" ht="15.75">
      <c r="B37" s="168"/>
      <c r="C37" s="186"/>
      <c r="D37" s="175"/>
      <c r="E37" s="175"/>
      <c r="F37" s="175"/>
      <c r="G37" s="175"/>
      <c r="H37" s="175"/>
      <c r="I37" s="175"/>
      <c r="J37" s="175"/>
      <c r="K37" s="175"/>
      <c r="L37" s="175"/>
      <c r="M37" s="175"/>
      <c r="N37" s="175"/>
      <c r="O37" s="175"/>
      <c r="P37" s="57"/>
      <c r="Q37" s="57"/>
      <c r="R37" s="57"/>
      <c r="S37" s="57"/>
      <c r="T37" s="169"/>
    </row>
    <row r="38" spans="2:20" ht="15.75">
      <c r="B38" s="168"/>
      <c r="C38" s="186"/>
      <c r="D38" s="175"/>
      <c r="E38" s="175"/>
      <c r="F38" s="175"/>
      <c r="G38" s="175"/>
      <c r="H38" s="175"/>
      <c r="I38" s="175"/>
      <c r="J38" s="175"/>
      <c r="K38" s="175"/>
      <c r="L38" s="175"/>
      <c r="M38" s="175"/>
      <c r="N38" s="175"/>
      <c r="O38" s="175"/>
      <c r="P38" s="57"/>
      <c r="Q38" s="57"/>
      <c r="R38" s="57"/>
      <c r="S38" s="57"/>
      <c r="T38" s="169"/>
    </row>
    <row r="39" spans="2:20" ht="15.75">
      <c r="B39" s="168"/>
      <c r="C39" s="186"/>
      <c r="D39" s="175"/>
      <c r="E39" s="175"/>
      <c r="F39" s="175"/>
      <c r="G39" s="175"/>
      <c r="H39" s="175"/>
      <c r="I39" s="175"/>
      <c r="J39" s="175"/>
      <c r="K39" s="175"/>
      <c r="L39" s="175"/>
      <c r="M39" s="175"/>
      <c r="N39" s="175"/>
      <c r="O39" s="175"/>
      <c r="P39" s="57"/>
      <c r="Q39" s="57"/>
      <c r="R39" s="57"/>
      <c r="S39" s="57"/>
      <c r="T39" s="169"/>
    </row>
    <row r="40" spans="2:20" ht="15.75">
      <c r="B40" s="168"/>
      <c r="C40" s="186"/>
      <c r="D40" s="175"/>
      <c r="E40" s="175"/>
      <c r="F40" s="175"/>
      <c r="G40" s="175"/>
      <c r="H40" s="175"/>
      <c r="I40" s="175"/>
      <c r="J40" s="175"/>
      <c r="K40" s="175"/>
      <c r="L40" s="175"/>
      <c r="M40" s="175"/>
      <c r="N40" s="175"/>
      <c r="O40" s="175"/>
      <c r="P40" s="57"/>
      <c r="Q40" s="57"/>
      <c r="R40" s="57"/>
      <c r="S40" s="57"/>
      <c r="T40" s="169"/>
    </row>
    <row r="41" spans="2:20" ht="15.75">
      <c r="B41" s="168"/>
      <c r="C41" s="186"/>
      <c r="D41" s="175"/>
      <c r="E41" s="175"/>
      <c r="F41" s="175"/>
      <c r="G41" s="175"/>
      <c r="H41" s="175"/>
      <c r="I41" s="175"/>
      <c r="J41" s="175"/>
      <c r="K41" s="175"/>
      <c r="L41" s="175"/>
      <c r="M41" s="175"/>
      <c r="N41" s="175"/>
      <c r="O41" s="175"/>
      <c r="P41" s="57"/>
      <c r="Q41" s="57"/>
      <c r="R41" s="57"/>
      <c r="S41" s="57"/>
      <c r="T41" s="169"/>
    </row>
    <row r="42" spans="2:20" ht="15.75">
      <c r="B42" s="168"/>
      <c r="C42" s="186"/>
      <c r="D42" s="175"/>
      <c r="E42" s="175"/>
      <c r="F42" s="175"/>
      <c r="G42" s="175"/>
      <c r="H42" s="175"/>
      <c r="I42" s="175"/>
      <c r="J42" s="175"/>
      <c r="K42" s="175"/>
      <c r="L42" s="175"/>
      <c r="M42" s="175"/>
      <c r="N42" s="175"/>
      <c r="O42" s="175"/>
      <c r="P42" s="57"/>
      <c r="Q42" s="57"/>
      <c r="R42" s="57"/>
      <c r="S42" s="57"/>
      <c r="T42" s="169"/>
    </row>
    <row r="43" spans="2:20" ht="15.75">
      <c r="B43" s="168"/>
      <c r="C43" s="186"/>
      <c r="D43" s="175"/>
      <c r="E43" s="175"/>
      <c r="F43" s="175"/>
      <c r="G43" s="175"/>
      <c r="H43" s="175"/>
      <c r="I43" s="175"/>
      <c r="J43" s="175"/>
      <c r="K43" s="175"/>
      <c r="L43" s="175"/>
      <c r="M43" s="175"/>
      <c r="N43" s="175"/>
      <c r="O43" s="175"/>
      <c r="P43" s="57"/>
      <c r="Q43" s="57"/>
      <c r="R43" s="57"/>
      <c r="S43" s="57"/>
      <c r="T43" s="169"/>
    </row>
    <row r="44" spans="2:20" ht="15.75">
      <c r="B44" s="168"/>
      <c r="C44" s="186"/>
      <c r="D44" s="175"/>
      <c r="E44" s="175"/>
      <c r="F44" s="175"/>
      <c r="G44" s="175"/>
      <c r="H44" s="175"/>
      <c r="I44" s="175"/>
      <c r="J44" s="175"/>
      <c r="K44" s="175"/>
      <c r="L44" s="175"/>
      <c r="M44" s="175"/>
      <c r="N44" s="175"/>
      <c r="O44" s="175"/>
      <c r="P44" s="57"/>
      <c r="Q44" s="57"/>
      <c r="R44" s="57"/>
      <c r="S44" s="57"/>
      <c r="T44" s="169"/>
    </row>
    <row r="45" spans="2:20" ht="15.75">
      <c r="B45" s="168"/>
      <c r="C45" s="186"/>
      <c r="D45" s="175"/>
      <c r="E45" s="175"/>
      <c r="F45" s="175"/>
      <c r="G45" s="175"/>
      <c r="H45" s="175"/>
      <c r="I45" s="175"/>
      <c r="J45" s="175"/>
      <c r="K45" s="175"/>
      <c r="L45" s="175"/>
      <c r="M45" s="175"/>
      <c r="N45" s="175"/>
      <c r="O45" s="175"/>
      <c r="P45" s="57"/>
      <c r="Q45" s="57"/>
      <c r="R45" s="57"/>
      <c r="S45" s="57"/>
      <c r="T45" s="169"/>
    </row>
    <row r="46" spans="2:20">
      <c r="B46" s="168"/>
      <c r="C46" s="175"/>
      <c r="D46" s="175"/>
      <c r="E46" s="175"/>
      <c r="F46" s="175"/>
      <c r="G46" s="175"/>
      <c r="H46" s="175"/>
      <c r="I46" s="175"/>
      <c r="J46" s="175"/>
      <c r="K46" s="175"/>
      <c r="L46" s="175"/>
      <c r="M46" s="175"/>
      <c r="N46" s="175"/>
      <c r="O46" s="175"/>
      <c r="P46" s="57"/>
      <c r="Q46" s="57"/>
      <c r="R46" s="57"/>
      <c r="S46" s="57"/>
      <c r="T46" s="169"/>
    </row>
    <row r="47" spans="2:20" ht="15.75">
      <c r="B47" s="168"/>
      <c r="C47" s="186"/>
      <c r="D47" s="175"/>
      <c r="E47" s="175"/>
      <c r="F47" s="175"/>
      <c r="G47" s="175"/>
      <c r="H47" s="175"/>
      <c r="I47" s="175"/>
      <c r="J47" s="175"/>
      <c r="K47" s="175"/>
      <c r="L47" s="175"/>
      <c r="M47" s="175"/>
      <c r="N47" s="175"/>
      <c r="O47" s="175"/>
      <c r="P47" s="57"/>
      <c r="Q47" s="57"/>
      <c r="R47" s="57"/>
      <c r="S47" s="57"/>
      <c r="T47" s="169"/>
    </row>
    <row r="48" spans="2:20">
      <c r="B48" s="168"/>
      <c r="C48" s="175"/>
      <c r="D48" s="175"/>
      <c r="E48" s="175"/>
      <c r="F48" s="175"/>
      <c r="G48" s="175"/>
      <c r="H48" s="175"/>
      <c r="I48" s="175"/>
      <c r="J48" s="175"/>
      <c r="K48" s="175"/>
      <c r="L48" s="175"/>
      <c r="M48" s="175"/>
      <c r="N48" s="175"/>
      <c r="O48" s="175"/>
      <c r="P48" s="57"/>
      <c r="Q48" s="57"/>
      <c r="R48" s="57"/>
      <c r="S48" s="57"/>
      <c r="T48" s="169"/>
    </row>
    <row r="49" spans="2:20">
      <c r="B49" s="168"/>
      <c r="C49" s="175"/>
      <c r="D49" s="175"/>
      <c r="E49" s="175"/>
      <c r="F49" s="175"/>
      <c r="G49" s="175"/>
      <c r="H49" s="175"/>
      <c r="I49" s="175"/>
      <c r="J49" s="175"/>
      <c r="K49" s="175"/>
      <c r="L49" s="175"/>
      <c r="M49" s="175"/>
      <c r="N49" s="175"/>
      <c r="O49" s="175"/>
      <c r="P49" s="57"/>
      <c r="Q49" s="57"/>
      <c r="R49" s="57"/>
      <c r="S49" s="57"/>
      <c r="T49" s="169"/>
    </row>
    <row r="50" spans="2:20">
      <c r="B50" s="168"/>
      <c r="C50" s="175"/>
      <c r="D50" s="175"/>
      <c r="E50" s="175"/>
      <c r="F50" s="175"/>
      <c r="G50" s="175"/>
      <c r="H50" s="175"/>
      <c r="I50" s="175"/>
      <c r="J50" s="175"/>
      <c r="K50" s="175"/>
      <c r="L50" s="175"/>
      <c r="M50" s="175"/>
      <c r="N50" s="175"/>
      <c r="O50" s="175"/>
      <c r="P50" s="57"/>
      <c r="Q50" s="57"/>
      <c r="R50" s="57"/>
      <c r="S50" s="57"/>
      <c r="T50" s="169"/>
    </row>
    <row r="51" spans="2:20">
      <c r="B51" s="168"/>
      <c r="C51" s="175"/>
      <c r="D51" s="175"/>
      <c r="E51" s="175"/>
      <c r="F51" s="175"/>
      <c r="G51" s="175"/>
      <c r="H51" s="175"/>
      <c r="I51" s="175"/>
      <c r="J51" s="175"/>
      <c r="K51" s="175"/>
      <c r="L51" s="175"/>
      <c r="M51" s="175"/>
      <c r="N51" s="175"/>
      <c r="O51" s="175"/>
      <c r="P51" s="57"/>
      <c r="Q51" s="57"/>
      <c r="R51" s="57"/>
      <c r="S51" s="57"/>
      <c r="T51" s="169"/>
    </row>
    <row r="52" spans="2:20">
      <c r="B52" s="168"/>
      <c r="C52" s="175"/>
      <c r="D52" s="175"/>
      <c r="E52" s="175"/>
      <c r="F52" s="175"/>
      <c r="G52" s="175"/>
      <c r="H52" s="175"/>
      <c r="I52" s="175"/>
      <c r="J52" s="175"/>
      <c r="K52" s="175"/>
      <c r="L52" s="175"/>
      <c r="M52" s="175"/>
      <c r="N52" s="175"/>
      <c r="O52" s="175"/>
      <c r="P52" s="57"/>
      <c r="Q52" s="57"/>
      <c r="R52" s="57"/>
      <c r="S52" s="57"/>
      <c r="T52" s="169"/>
    </row>
    <row r="53" spans="2:20" ht="15.75">
      <c r="B53" s="168"/>
      <c r="C53" s="186"/>
      <c r="D53" s="186"/>
      <c r="E53" s="186"/>
      <c r="F53" s="186"/>
      <c r="G53" s="186"/>
      <c r="H53" s="186"/>
      <c r="I53" s="186"/>
      <c r="J53" s="186"/>
      <c r="K53" s="186"/>
      <c r="L53" s="175"/>
      <c r="M53" s="175"/>
      <c r="N53" s="175"/>
      <c r="O53" s="175"/>
      <c r="P53" s="57"/>
      <c r="Q53" s="57"/>
      <c r="R53" s="57"/>
      <c r="S53" s="57"/>
      <c r="T53" s="169"/>
    </row>
    <row r="54" spans="2:20" ht="15.75">
      <c r="B54" s="168"/>
      <c r="C54" s="186"/>
      <c r="D54" s="175"/>
      <c r="E54" s="175"/>
      <c r="F54" s="175"/>
      <c r="G54" s="175"/>
      <c r="H54" s="175"/>
      <c r="I54" s="175"/>
      <c r="J54" s="175"/>
      <c r="K54" s="175"/>
      <c r="L54" s="175"/>
      <c r="M54" s="175"/>
      <c r="N54" s="175"/>
      <c r="O54" s="175"/>
      <c r="P54" s="57"/>
      <c r="Q54" s="57"/>
      <c r="R54" s="57"/>
      <c r="S54" s="57"/>
      <c r="T54" s="169"/>
    </row>
    <row r="55" spans="2:20" ht="15.75">
      <c r="B55" s="168"/>
      <c r="C55" s="174"/>
      <c r="D55" s="57"/>
      <c r="E55" s="57"/>
      <c r="F55" s="57"/>
      <c r="G55" s="57"/>
      <c r="H55" s="57"/>
      <c r="I55" s="57"/>
      <c r="J55" s="57"/>
      <c r="K55" s="57"/>
      <c r="L55" s="57"/>
      <c r="M55" s="57"/>
      <c r="N55" s="57"/>
      <c r="O55" s="57"/>
      <c r="P55" s="57"/>
      <c r="Q55" s="57"/>
      <c r="R55" s="57"/>
      <c r="S55" s="57"/>
      <c r="T55" s="169"/>
    </row>
    <row r="56" spans="2:20" ht="15.75">
      <c r="B56" s="168"/>
      <c r="C56" s="174"/>
      <c r="D56" s="57"/>
      <c r="E56" s="57"/>
      <c r="F56" s="57"/>
      <c r="G56" s="57"/>
      <c r="H56" s="57"/>
      <c r="I56" s="57"/>
      <c r="J56" s="57"/>
      <c r="K56" s="57"/>
      <c r="L56" s="57"/>
      <c r="M56" s="57"/>
      <c r="N56" s="57"/>
      <c r="O56" s="57"/>
      <c r="P56" s="57"/>
      <c r="Q56" s="57"/>
      <c r="R56" s="57"/>
      <c r="S56" s="57"/>
      <c r="T56" s="169"/>
    </row>
    <row r="57" spans="2:20" ht="15.75">
      <c r="B57" s="168"/>
      <c r="C57" s="174"/>
      <c r="D57" s="57"/>
      <c r="E57" s="57"/>
      <c r="F57" s="57"/>
      <c r="G57" s="57"/>
      <c r="H57" s="57"/>
      <c r="I57" s="57"/>
      <c r="J57" s="57"/>
      <c r="K57" s="57"/>
      <c r="L57" s="57"/>
      <c r="M57" s="57"/>
      <c r="N57" s="57"/>
      <c r="O57" s="57"/>
      <c r="P57" s="57"/>
      <c r="Q57" s="57"/>
      <c r="R57" s="57"/>
      <c r="S57" s="57"/>
      <c r="T57" s="169"/>
    </row>
    <row r="58" spans="2:20" ht="15.75">
      <c r="B58" s="168"/>
      <c r="C58" s="163" t="s">
        <v>174</v>
      </c>
      <c r="D58" s="170"/>
      <c r="E58" s="170"/>
      <c r="F58" s="170"/>
      <c r="G58" s="170"/>
      <c r="H58" s="170"/>
      <c r="I58" s="57"/>
      <c r="J58" s="57"/>
      <c r="K58" s="57"/>
      <c r="L58" s="57"/>
      <c r="M58" s="57"/>
      <c r="N58" s="57"/>
      <c r="O58" s="57"/>
      <c r="P58" s="57"/>
      <c r="Q58" s="57"/>
      <c r="R58" s="57"/>
      <c r="S58" s="57"/>
      <c r="T58" s="169"/>
    </row>
    <row r="59" spans="2:20" ht="6.75" customHeight="1">
      <c r="B59" s="168"/>
      <c r="C59" s="174"/>
      <c r="D59" s="57"/>
      <c r="E59" s="57"/>
      <c r="F59" s="57"/>
      <c r="G59" s="57"/>
      <c r="H59" s="57"/>
      <c r="I59" s="57"/>
      <c r="J59" s="57"/>
      <c r="K59" s="57"/>
      <c r="L59" s="57"/>
      <c r="M59" s="57"/>
      <c r="N59" s="57"/>
      <c r="O59" s="57"/>
      <c r="P59" s="57"/>
      <c r="Q59" s="57"/>
      <c r="R59" s="57"/>
      <c r="S59" s="57"/>
      <c r="T59" s="169"/>
    </row>
    <row r="60" spans="2:20" s="202" customFormat="1" ht="17.25" customHeight="1">
      <c r="B60" s="198"/>
      <c r="C60" s="197" t="s">
        <v>171</v>
      </c>
      <c r="D60" s="205" t="s">
        <v>173</v>
      </c>
      <c r="E60" s="206"/>
      <c r="F60" s="206"/>
      <c r="G60" s="199"/>
      <c r="H60" s="199"/>
      <c r="I60" s="199"/>
      <c r="J60" s="199"/>
      <c r="K60" s="199"/>
      <c r="L60" s="200"/>
      <c r="M60" s="200"/>
      <c r="N60" s="200"/>
      <c r="O60" s="200"/>
      <c r="P60" s="200"/>
      <c r="Q60" s="200"/>
      <c r="R60" s="200"/>
      <c r="S60" s="200"/>
      <c r="T60" s="201"/>
    </row>
    <row r="61" spans="2:20" s="202" customFormat="1" ht="17.25" customHeight="1">
      <c r="B61" s="198"/>
      <c r="C61" s="203" t="s">
        <v>138</v>
      </c>
      <c r="D61" s="207" t="s">
        <v>172</v>
      </c>
      <c r="E61" s="204"/>
      <c r="F61" s="204"/>
      <c r="G61" s="200"/>
      <c r="H61" s="200"/>
      <c r="I61" s="200"/>
      <c r="J61" s="200"/>
      <c r="K61" s="200"/>
      <c r="L61" s="200"/>
      <c r="M61" s="200"/>
      <c r="N61" s="200"/>
      <c r="O61" s="200"/>
      <c r="P61" s="200"/>
      <c r="Q61" s="200"/>
      <c r="R61" s="200"/>
      <c r="S61" s="200"/>
      <c r="T61" s="201"/>
    </row>
    <row r="62" spans="2:20" s="202" customFormat="1" ht="17.25" customHeight="1">
      <c r="B62" s="198"/>
      <c r="C62" s="203" t="s">
        <v>248</v>
      </c>
      <c r="D62" s="207" t="s">
        <v>249</v>
      </c>
      <c r="E62" s="204"/>
      <c r="F62" s="204"/>
      <c r="G62" s="200"/>
      <c r="H62" s="200"/>
      <c r="I62" s="200"/>
      <c r="J62" s="200"/>
      <c r="K62" s="200"/>
      <c r="L62" s="200"/>
      <c r="M62" s="200"/>
      <c r="N62" s="200"/>
      <c r="O62" s="200"/>
      <c r="P62" s="200"/>
      <c r="Q62" s="200"/>
      <c r="R62" s="200"/>
      <c r="S62" s="200"/>
      <c r="T62" s="201"/>
    </row>
    <row r="63" spans="2:20" s="202" customFormat="1" ht="17.25" customHeight="1">
      <c r="B63" s="198"/>
      <c r="C63" s="203" t="s">
        <v>250</v>
      </c>
      <c r="D63" s="207" t="s">
        <v>251</v>
      </c>
      <c r="E63" s="204"/>
      <c r="F63" s="204"/>
      <c r="G63" s="200"/>
      <c r="H63" s="200"/>
      <c r="I63" s="200"/>
      <c r="J63" s="200"/>
      <c r="K63" s="200"/>
      <c r="L63" s="200"/>
      <c r="M63" s="200"/>
      <c r="N63" s="200"/>
      <c r="O63" s="200"/>
      <c r="P63" s="200"/>
      <c r="Q63" s="200"/>
      <c r="R63" s="200"/>
      <c r="S63" s="200"/>
      <c r="T63" s="201"/>
    </row>
    <row r="64" spans="2:20" s="202" customFormat="1" ht="17.25" customHeight="1">
      <c r="B64" s="198"/>
      <c r="C64" s="203" t="s">
        <v>252</v>
      </c>
      <c r="D64" s="207" t="s">
        <v>336</v>
      </c>
      <c r="E64" s="204"/>
      <c r="F64" s="204"/>
      <c r="G64" s="200"/>
      <c r="H64" s="200"/>
      <c r="I64" s="200"/>
      <c r="J64" s="200"/>
      <c r="K64" s="200"/>
      <c r="L64" s="200"/>
      <c r="M64" s="200"/>
      <c r="N64" s="200"/>
      <c r="O64" s="200"/>
      <c r="P64" s="200"/>
      <c r="Q64" s="200"/>
      <c r="R64" s="200"/>
      <c r="S64" s="200"/>
      <c r="T64" s="201"/>
    </row>
    <row r="65" spans="2:20" s="202" customFormat="1" ht="17.25" customHeight="1">
      <c r="B65" s="198"/>
      <c r="C65" s="203" t="s">
        <v>253</v>
      </c>
      <c r="D65" s="207" t="s">
        <v>254</v>
      </c>
      <c r="E65" s="204"/>
      <c r="F65" s="204"/>
      <c r="G65" s="200"/>
      <c r="H65" s="200"/>
      <c r="I65" s="200"/>
      <c r="J65" s="200"/>
      <c r="K65" s="200"/>
      <c r="L65" s="200"/>
      <c r="M65" s="200"/>
      <c r="N65" s="200"/>
      <c r="O65" s="200"/>
      <c r="P65" s="200"/>
      <c r="Q65" s="200"/>
      <c r="R65" s="200"/>
      <c r="S65" s="200"/>
      <c r="T65" s="201"/>
    </row>
    <row r="66" spans="2:20" s="202" customFormat="1" ht="17.25" customHeight="1">
      <c r="B66" s="198"/>
      <c r="C66" s="208" t="s">
        <v>255</v>
      </c>
      <c r="D66" s="207" t="s">
        <v>337</v>
      </c>
      <c r="E66" s="204"/>
      <c r="F66" s="204"/>
      <c r="G66" s="200"/>
      <c r="H66" s="200"/>
      <c r="I66" s="200"/>
      <c r="J66" s="200"/>
      <c r="K66" s="200"/>
      <c r="L66" s="200"/>
      <c r="M66" s="200"/>
      <c r="N66" s="200"/>
      <c r="O66" s="200"/>
      <c r="P66" s="200"/>
      <c r="Q66" s="200"/>
      <c r="R66" s="200"/>
      <c r="S66" s="200"/>
      <c r="T66" s="201"/>
    </row>
    <row r="67" spans="2:20">
      <c r="B67" s="171"/>
      <c r="C67" s="172"/>
      <c r="D67" s="172"/>
      <c r="E67" s="172"/>
      <c r="F67" s="172"/>
      <c r="G67" s="172"/>
      <c r="H67" s="172"/>
      <c r="I67" s="172"/>
      <c r="J67" s="172"/>
      <c r="K67" s="172"/>
      <c r="L67" s="172"/>
      <c r="M67" s="172"/>
      <c r="N67" s="172"/>
      <c r="O67" s="172"/>
      <c r="P67" s="172"/>
      <c r="Q67" s="172"/>
      <c r="R67" s="172"/>
      <c r="S67" s="172"/>
      <c r="T67" s="173"/>
    </row>
  </sheetData>
  <sheetProtection algorithmName="SHA-512" hashValue="f+bLPvYBqj3fM+vgz5JGjujb4zd5inZwnBHucENmEfS4TmgUBZ3qL1lQ2hELbnvg2IL63rODhMkOjFIq028w5A==" saltValue="oYvjN1WyRY/FhWx4Qn7ktw==" spinCount="100000" sheet="1" objects="1" scenarios="1" selectLockedCells="1"/>
  <conditionalFormatting sqref="M14">
    <cfRule type="expression" dxfId="1" priority="1">
      <formula>OR($C$15="DN710",$C$15="DN1000")</formula>
    </cfRule>
  </conditionalFormatting>
  <dataValidations count="1">
    <dataValidation type="list" allowBlank="1" showInputMessage="1" showErrorMessage="1" sqref="C15" xr:uid="{00000000-0002-0000-0400-000000000000}">
      <formula1>size.</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9EF66-FE73-4A53-B5FC-ECCBDB2A2914}">
  <dimension ref="A1:B7"/>
  <sheetViews>
    <sheetView workbookViewId="0">
      <selection activeCell="C3" sqref="C3"/>
    </sheetView>
  </sheetViews>
  <sheetFormatPr defaultRowHeight="14.25"/>
  <cols>
    <col min="1" max="1" width="9.06640625" customWidth="1"/>
    <col min="2" max="2" width="44.06640625" customWidth="1"/>
    <col min="3" max="3" width="36.265625" customWidth="1"/>
  </cols>
  <sheetData>
    <row r="1" spans="1:2" ht="172.5" customHeight="1">
      <c r="A1">
        <v>250</v>
      </c>
    </row>
    <row r="2" spans="1:2" ht="172.5" customHeight="1">
      <c r="A2">
        <v>355</v>
      </c>
    </row>
    <row r="3" spans="1:2" ht="172.5" customHeight="1">
      <c r="A3">
        <v>500</v>
      </c>
    </row>
    <row r="4" spans="1:2" ht="172.5" customHeight="1">
      <c r="A4">
        <v>710</v>
      </c>
    </row>
    <row r="5" spans="1:2" ht="172.5" customHeight="1">
      <c r="A5">
        <v>1000</v>
      </c>
    </row>
    <row r="7" spans="1:2">
      <c r="A7" t="s">
        <v>237</v>
      </c>
      <c r="B7" t="str">
        <f>"DN"&amp;'HSC-AD data'!D19&amp;"-R"&amp;'HSC-AD data'!E19&amp;" Electric Control Voltage (V) &amp; Guide Ring Position (mm)"</f>
        <v>DN500-R0 Electric Control Voltage (V) &amp; Guide Ring Position (mm)</v>
      </c>
    </row>
  </sheetData>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2:P142"/>
  <sheetViews>
    <sheetView topLeftCell="A49" workbookViewId="0">
      <selection activeCell="K129" sqref="K129"/>
    </sheetView>
  </sheetViews>
  <sheetFormatPr defaultRowHeight="14.25"/>
  <cols>
    <col min="2" max="2" width="14.86328125" customWidth="1"/>
    <col min="3" max="3" width="9.9296875" customWidth="1"/>
    <col min="8" max="8" width="11.06640625" customWidth="1"/>
    <col min="16" max="17" width="9" customWidth="1"/>
  </cols>
  <sheetData>
    <row r="2" spans="2:5">
      <c r="B2" s="46">
        <v>0.95</v>
      </c>
      <c r="C2">
        <v>0.2</v>
      </c>
    </row>
    <row r="3" spans="2:5">
      <c r="B3" s="46">
        <v>0.9</v>
      </c>
      <c r="C3">
        <v>0.25</v>
      </c>
    </row>
    <row r="4" spans="2:5">
      <c r="B4" s="46">
        <v>0.8</v>
      </c>
      <c r="C4">
        <v>0.28999999999999998</v>
      </c>
    </row>
    <row r="5" spans="2:5">
      <c r="B5" s="46">
        <v>0.7</v>
      </c>
      <c r="C5">
        <v>0.33</v>
      </c>
    </row>
    <row r="7" spans="2:5">
      <c r="C7" t="s">
        <v>133</v>
      </c>
    </row>
    <row r="8" spans="2:5">
      <c r="D8" t="s">
        <v>134</v>
      </c>
      <c r="E8" t="s">
        <v>135</v>
      </c>
    </row>
    <row r="9" spans="2:5">
      <c r="C9">
        <v>1</v>
      </c>
      <c r="D9">
        <v>250</v>
      </c>
      <c r="E9">
        <v>1</v>
      </c>
    </row>
    <row r="10" spans="2:5">
      <c r="C10">
        <v>2</v>
      </c>
      <c r="D10">
        <v>250</v>
      </c>
      <c r="E10">
        <v>0</v>
      </c>
    </row>
    <row r="11" spans="2:5">
      <c r="C11">
        <v>3</v>
      </c>
      <c r="D11">
        <v>355</v>
      </c>
      <c r="E11">
        <v>1</v>
      </c>
    </row>
    <row r="12" spans="2:5">
      <c r="C12">
        <v>4</v>
      </c>
      <c r="D12">
        <v>355</v>
      </c>
      <c r="E12">
        <v>0</v>
      </c>
    </row>
    <row r="13" spans="2:5">
      <c r="C13">
        <v>5</v>
      </c>
      <c r="D13">
        <v>500</v>
      </c>
      <c r="E13">
        <v>1</v>
      </c>
    </row>
    <row r="14" spans="2:5">
      <c r="C14">
        <v>6</v>
      </c>
      <c r="D14">
        <v>500</v>
      </c>
      <c r="E14">
        <v>0</v>
      </c>
    </row>
    <row r="15" spans="2:5">
      <c r="C15">
        <v>7</v>
      </c>
      <c r="D15">
        <v>710</v>
      </c>
      <c r="E15">
        <v>1</v>
      </c>
    </row>
    <row r="16" spans="2:5">
      <c r="C16">
        <v>8</v>
      </c>
      <c r="D16">
        <v>710</v>
      </c>
      <c r="E16">
        <v>0</v>
      </c>
    </row>
    <row r="17" spans="2:16">
      <c r="C17">
        <v>9</v>
      </c>
      <c r="D17">
        <v>1000</v>
      </c>
      <c r="E17">
        <v>1</v>
      </c>
      <c r="H17" s="236" t="s">
        <v>262</v>
      </c>
    </row>
    <row r="18" spans="2:16">
      <c r="C18" s="144">
        <v>10</v>
      </c>
      <c r="D18" s="144">
        <v>1000</v>
      </c>
      <c r="E18" s="144">
        <v>0</v>
      </c>
      <c r="H18" s="236" t="s">
        <v>261</v>
      </c>
    </row>
    <row r="19" spans="2:16">
      <c r="B19" t="s">
        <v>122</v>
      </c>
      <c r="C19">
        <f>'Equations HSC-AD'!C276</f>
        <v>6</v>
      </c>
      <c r="D19">
        <f>VLOOKUP(C19,C9:E18,2,0)</f>
        <v>500</v>
      </c>
      <c r="E19">
        <f>VLOOKUP(C19,C9:E18,3,0)</f>
        <v>0</v>
      </c>
      <c r="G19" t="s">
        <v>256</v>
      </c>
    </row>
    <row r="20" spans="2:16">
      <c r="B20" t="s">
        <v>388</v>
      </c>
      <c r="C20" t="str">
        <f>"DN"&amp;D19&amp;"-R"&amp;E19</f>
        <v>DN500-R0</v>
      </c>
    </row>
    <row r="22" spans="2:16">
      <c r="B22" t="s">
        <v>136</v>
      </c>
    </row>
    <row r="23" spans="2:16">
      <c r="C23">
        <v>0</v>
      </c>
    </row>
    <row r="24" spans="2:16">
      <c r="C24">
        <v>1</v>
      </c>
      <c r="D24" t="s">
        <v>138</v>
      </c>
      <c r="E24" t="s">
        <v>138</v>
      </c>
      <c r="F24" t="s">
        <v>403</v>
      </c>
      <c r="G24" t="s">
        <v>202</v>
      </c>
    </row>
    <row r="25" spans="2:16">
      <c r="C25">
        <v>2</v>
      </c>
      <c r="D25" t="s">
        <v>385</v>
      </c>
      <c r="E25" t="s">
        <v>367</v>
      </c>
      <c r="F25" t="str">
        <f>IF($C$19&lt;=6,"Electric actuator 24V, 2-10V","selection not valid")</f>
        <v>Electric actuator 24V, 2-10V</v>
      </c>
      <c r="G25" t="s">
        <v>203</v>
      </c>
    </row>
    <row r="26" spans="2:16">
      <c r="C26">
        <v>3</v>
      </c>
      <c r="D26" t="str">
        <f>IF(C19&gt;=7, "N/A", "Electric motor 2-position")</f>
        <v>Electric motor 2-position</v>
      </c>
      <c r="E26" t="s">
        <v>369</v>
      </c>
      <c r="F26" t="str">
        <f>IF($C$19&lt;=6,"Electric actuator 24V, 3-pt (2 position)","selection not valid")</f>
        <v>Electric actuator 24V, 3-pt (2 position)</v>
      </c>
      <c r="G26" t="s">
        <v>203</v>
      </c>
    </row>
    <row r="27" spans="2:16">
      <c r="C27">
        <v>4</v>
      </c>
      <c r="D27" t="str">
        <f>IF(ISNUMBER(E29),"Thermal actuator set to " &amp;E29&amp;"°C","Thermal actuator (not recommended)")</f>
        <v>Thermal actuator set to 26°C</v>
      </c>
      <c r="E27" t="str">
        <f>"T"&amp;E29</f>
        <v>T26</v>
      </c>
      <c r="F27" t="str">
        <f>IF($C$19&lt;=6,"Thermal actuator "&amp;IF(ISNUMBER(E29),"set to "&amp;E29&amp;"°C","(not recommended)"),"selection not valid")</f>
        <v>Thermal actuator set to 26°C</v>
      </c>
      <c r="G27" t="s">
        <v>204</v>
      </c>
    </row>
    <row r="29" spans="2:16">
      <c r="C29">
        <v>1</v>
      </c>
      <c r="D29" t="str">
        <f>VLOOKUP(C29,C23:E27,3,0)</f>
        <v>M</v>
      </c>
      <c r="E29">
        <f>IF(ISNUMBER(HLOOKUP(C19,'Equations HSC-AD'!C242:M263,'Equations HSC-AD'!A262,0)),HLOOKUP(C19,'Equations HSC-AD'!C242:M263,'Equations HSC-AD'!A262,0),"&lt;n.r.&gt;")</f>
        <v>26</v>
      </c>
      <c r="F29" t="str">
        <f>VLOOKUP(C29,C23:F27,4,0)</f>
        <v>Manual adjustment</v>
      </c>
    </row>
    <row r="31" spans="2:16">
      <c r="C31">
        <v>1</v>
      </c>
      <c r="D31">
        <v>2</v>
      </c>
      <c r="E31">
        <v>3</v>
      </c>
      <c r="F31">
        <v>4</v>
      </c>
      <c r="G31">
        <v>5</v>
      </c>
      <c r="H31">
        <v>6</v>
      </c>
      <c r="I31">
        <v>7</v>
      </c>
      <c r="L31" s="329"/>
      <c r="M31" s="329"/>
      <c r="N31" s="329"/>
      <c r="O31" s="329"/>
      <c r="P31" s="329"/>
    </row>
    <row r="32" spans="2:16">
      <c r="B32" t="s">
        <v>370</v>
      </c>
      <c r="C32">
        <v>250</v>
      </c>
      <c r="D32" t="s">
        <v>371</v>
      </c>
      <c r="E32" t="s">
        <v>376</v>
      </c>
      <c r="F32" t="s">
        <v>375</v>
      </c>
      <c r="G32" t="s">
        <v>380</v>
      </c>
      <c r="H32" t="s">
        <v>380</v>
      </c>
      <c r="I32">
        <v>375</v>
      </c>
      <c r="L32" s="329"/>
      <c r="M32" s="329"/>
      <c r="N32" s="329"/>
      <c r="O32" s="329"/>
      <c r="P32" s="329"/>
    </row>
    <row r="33" spans="2:16">
      <c r="C33">
        <v>355</v>
      </c>
      <c r="D33" t="s">
        <v>372</v>
      </c>
      <c r="E33" t="s">
        <v>378</v>
      </c>
      <c r="F33" t="s">
        <v>377</v>
      </c>
      <c r="G33" t="s">
        <v>379</v>
      </c>
      <c r="H33" t="s">
        <v>375</v>
      </c>
      <c r="I33">
        <v>530</v>
      </c>
      <c r="L33" s="329"/>
      <c r="M33" s="329"/>
      <c r="N33" s="329"/>
      <c r="O33" s="329"/>
      <c r="P33" s="329"/>
    </row>
    <row r="34" spans="2:16">
      <c r="C34">
        <v>500</v>
      </c>
      <c r="D34" t="s">
        <v>373</v>
      </c>
      <c r="E34" t="s">
        <v>377</v>
      </c>
      <c r="F34" t="s">
        <v>379</v>
      </c>
      <c r="G34" t="s">
        <v>375</v>
      </c>
      <c r="H34" t="s">
        <v>380</v>
      </c>
      <c r="I34">
        <v>750</v>
      </c>
      <c r="L34" s="329"/>
      <c r="M34" s="329"/>
      <c r="N34" s="329"/>
      <c r="O34" s="329"/>
      <c r="P34" s="329"/>
    </row>
    <row r="35" spans="2:16">
      <c r="C35">
        <v>710</v>
      </c>
      <c r="D35" t="s">
        <v>374</v>
      </c>
      <c r="E35" t="s">
        <v>375</v>
      </c>
      <c r="F35" t="s">
        <v>380</v>
      </c>
      <c r="G35" t="s">
        <v>380</v>
      </c>
      <c r="H35" t="s">
        <v>380</v>
      </c>
      <c r="I35">
        <v>1000</v>
      </c>
      <c r="L35" s="329"/>
      <c r="M35" s="329"/>
      <c r="N35" s="329"/>
      <c r="O35" s="329"/>
      <c r="P35" s="329"/>
    </row>
    <row r="36" spans="2:16">
      <c r="C36">
        <v>1000</v>
      </c>
      <c r="D36" t="s">
        <v>386</v>
      </c>
      <c r="E36" t="s">
        <v>375</v>
      </c>
      <c r="F36" t="s">
        <v>380</v>
      </c>
      <c r="G36" t="s">
        <v>380</v>
      </c>
      <c r="H36" t="s">
        <v>380</v>
      </c>
      <c r="I36">
        <v>1420</v>
      </c>
      <c r="L36" s="329"/>
      <c r="M36" s="329"/>
      <c r="N36" s="329"/>
      <c r="O36" s="329"/>
      <c r="P36" s="329"/>
    </row>
    <row r="37" spans="2:16">
      <c r="D37">
        <v>1</v>
      </c>
      <c r="E37">
        <v>2</v>
      </c>
      <c r="F37">
        <v>3</v>
      </c>
      <c r="G37">
        <v>4</v>
      </c>
      <c r="H37">
        <v>5</v>
      </c>
      <c r="L37" s="329"/>
      <c r="M37" s="329"/>
      <c r="N37" s="329"/>
      <c r="O37" s="329"/>
      <c r="P37" s="329"/>
    </row>
    <row r="38" spans="2:16">
      <c r="C38" t="s">
        <v>384</v>
      </c>
      <c r="D38" t="str">
        <f>IFERROR(VLOOKUP($D$19,$C$32:$H$36,D31,0),"Circle")</f>
        <v>C750</v>
      </c>
      <c r="E38" t="str">
        <f>IFERROR(VLOOKUP($D$19,$C$32:$H$36,E31,0),"Square")</f>
        <v>S595</v>
      </c>
      <c r="F38" t="str">
        <f t="shared" ref="F38:H38" si="0">IFERROR(VLOOKUP($D$19,$C$32:$H$36,F31,0),"")</f>
        <v>S603</v>
      </c>
      <c r="G38" t="str">
        <f t="shared" si="0"/>
        <v>custom</v>
      </c>
      <c r="H38" t="str">
        <f t="shared" si="0"/>
        <v>N/A</v>
      </c>
      <c r="L38" s="329"/>
      <c r="M38" s="329"/>
      <c r="N38" s="329"/>
      <c r="O38" s="329"/>
      <c r="P38" s="329"/>
    </row>
    <row r="39" spans="2:16">
      <c r="C39" t="s">
        <v>381</v>
      </c>
      <c r="L39" s="329"/>
      <c r="M39" s="329"/>
      <c r="N39" s="329"/>
      <c r="O39" s="329"/>
      <c r="P39" s="329"/>
    </row>
    <row r="40" spans="2:16">
      <c r="C40">
        <v>1</v>
      </c>
      <c r="D40" t="str">
        <f>HLOOKUP(C40,D37:H38,2,0)</f>
        <v>C750</v>
      </c>
      <c r="L40" s="329"/>
      <c r="M40" s="329"/>
      <c r="N40" s="329"/>
      <c r="O40" s="329"/>
      <c r="P40" s="329"/>
    </row>
    <row r="41" spans="2:16">
      <c r="C41" t="s">
        <v>382</v>
      </c>
      <c r="D41">
        <f>IF(C40=1,VLOOKUP(D19,C31:I36,7,0),IF(D42="S",RIGHT(D40,3),""))</f>
        <v>750</v>
      </c>
      <c r="L41" s="329"/>
      <c r="M41" s="329"/>
      <c r="N41" s="329"/>
      <c r="O41" s="329"/>
      <c r="P41" s="329"/>
    </row>
    <row r="42" spans="2:16">
      <c r="C42" t="s">
        <v>383</v>
      </c>
      <c r="D42" t="str">
        <f>IF(OR(D40="custom",D40="N/A"),"",LEFT(D40,1))</f>
        <v>C</v>
      </c>
      <c r="E42" t="str">
        <f>IF(D42="C"," mm diameter circular face",IF(D42="S"," mm square face",""))</f>
        <v xml:space="preserve"> mm diameter circular face</v>
      </c>
      <c r="L42" s="329"/>
      <c r="M42" s="329"/>
      <c r="N42" s="329"/>
      <c r="O42" s="329"/>
      <c r="P42" s="329"/>
    </row>
    <row r="43" spans="2:16">
      <c r="C43" t="s">
        <v>173</v>
      </c>
      <c r="D43" t="str">
        <f>IF(D40="custom","Custom face size - please contact Smartair",IF(D40="N/A","please select a valid face shape",D41&amp;E42))</f>
        <v>750 mm diameter circular face</v>
      </c>
      <c r="M43" s="329"/>
      <c r="N43" s="329"/>
      <c r="O43" s="329"/>
      <c r="P43" s="329"/>
    </row>
    <row r="44" spans="2:16">
      <c r="C44" t="s">
        <v>387</v>
      </c>
      <c r="D44" t="str">
        <f>IF(OR(D40="custom",D40="N/A"),"&lt;face&gt;",D40)</f>
        <v>C750</v>
      </c>
      <c r="M44" s="329"/>
      <c r="N44" s="329"/>
      <c r="O44" s="329"/>
      <c r="P44" s="329"/>
    </row>
    <row r="45" spans="2:16">
      <c r="M45" s="329"/>
      <c r="N45" s="329"/>
      <c r="O45" s="329"/>
      <c r="P45" s="329"/>
    </row>
    <row r="47" spans="2:16">
      <c r="B47" t="s">
        <v>131</v>
      </c>
      <c r="C47">
        <v>1</v>
      </c>
      <c r="D47" t="s">
        <v>139</v>
      </c>
      <c r="E47" t="s">
        <v>209</v>
      </c>
    </row>
    <row r="48" spans="2:16">
      <c r="C48">
        <v>2</v>
      </c>
      <c r="D48" t="s">
        <v>137</v>
      </c>
      <c r="E48" t="s">
        <v>143</v>
      </c>
    </row>
    <row r="49" spans="2:13">
      <c r="C49">
        <v>3</v>
      </c>
      <c r="D49" t="s">
        <v>140</v>
      </c>
      <c r="E49" t="s">
        <v>208</v>
      </c>
    </row>
    <row r="51" spans="2:13">
      <c r="C51">
        <v>1</v>
      </c>
      <c r="D51" t="str">
        <f>VLOOKUP(C51,C47:D49,2,0)</f>
        <v>RAL9003</v>
      </c>
    </row>
    <row r="53" spans="2:13">
      <c r="B53" t="s">
        <v>141</v>
      </c>
      <c r="D53" t="str">
        <f>IF(C19=0,"select size to generate order code",CONCATENATE("SMARTEMP HSC-AD-",C20,"-",D44,"-",D29,"-",D51))</f>
        <v>SMARTEMP HSC-AD-DN500-R0-C750-M-RAL9003</v>
      </c>
    </row>
    <row r="56" spans="2:13">
      <c r="B56" s="31" t="s">
        <v>21</v>
      </c>
      <c r="D56" t="s">
        <v>150</v>
      </c>
      <c r="E56" t="s">
        <v>151</v>
      </c>
      <c r="F56" t="s">
        <v>152</v>
      </c>
      <c r="G56" t="s">
        <v>153</v>
      </c>
      <c r="H56" t="s">
        <v>154</v>
      </c>
      <c r="I56" t="s">
        <v>155</v>
      </c>
      <c r="J56" t="s">
        <v>156</v>
      </c>
      <c r="K56" t="s">
        <v>157</v>
      </c>
      <c r="L56" t="s">
        <v>158</v>
      </c>
    </row>
    <row r="57" spans="2:13">
      <c r="B57">
        <v>1</v>
      </c>
      <c r="C57" t="s">
        <v>25</v>
      </c>
      <c r="D57">
        <v>270</v>
      </c>
      <c r="E57">
        <v>375</v>
      </c>
      <c r="F57">
        <v>295</v>
      </c>
      <c r="G57">
        <v>249</v>
      </c>
      <c r="H57">
        <v>425</v>
      </c>
      <c r="I57">
        <v>400</v>
      </c>
      <c r="J57">
        <v>14</v>
      </c>
      <c r="K57">
        <v>60</v>
      </c>
      <c r="L57">
        <v>215</v>
      </c>
      <c r="M57">
        <v>250</v>
      </c>
    </row>
    <row r="58" spans="2:13">
      <c r="B58">
        <v>2</v>
      </c>
      <c r="C58" t="s">
        <v>36</v>
      </c>
      <c r="D58">
        <v>395</v>
      </c>
      <c r="E58">
        <v>530</v>
      </c>
      <c r="F58" t="s">
        <v>160</v>
      </c>
      <c r="G58">
        <v>354</v>
      </c>
      <c r="H58">
        <v>495</v>
      </c>
      <c r="I58">
        <v>550</v>
      </c>
      <c r="J58">
        <v>20</v>
      </c>
      <c r="K58">
        <v>80</v>
      </c>
      <c r="L58">
        <v>320</v>
      </c>
      <c r="M58">
        <v>355</v>
      </c>
    </row>
    <row r="59" spans="2:13">
      <c r="B59">
        <v>3</v>
      </c>
      <c r="C59" t="s">
        <v>38</v>
      </c>
      <c r="D59">
        <v>560</v>
      </c>
      <c r="E59">
        <v>750</v>
      </c>
      <c r="F59" t="s">
        <v>161</v>
      </c>
      <c r="G59">
        <v>499</v>
      </c>
      <c r="H59">
        <v>695</v>
      </c>
      <c r="I59">
        <v>690</v>
      </c>
      <c r="J59">
        <v>28</v>
      </c>
      <c r="K59">
        <v>100</v>
      </c>
      <c r="L59">
        <v>465</v>
      </c>
      <c r="M59">
        <v>500</v>
      </c>
    </row>
    <row r="60" spans="2:13">
      <c r="B60">
        <v>4</v>
      </c>
      <c r="C60" t="s">
        <v>39</v>
      </c>
      <c r="D60">
        <v>790</v>
      </c>
      <c r="E60">
        <v>1000</v>
      </c>
      <c r="M60">
        <v>710</v>
      </c>
    </row>
    <row r="61" spans="2:13">
      <c r="B61">
        <v>5</v>
      </c>
      <c r="C61" t="s">
        <v>53</v>
      </c>
      <c r="E61">
        <v>1420</v>
      </c>
      <c r="M61">
        <v>1000</v>
      </c>
    </row>
    <row r="63" spans="2:13">
      <c r="B63" s="31" t="s">
        <v>207</v>
      </c>
    </row>
    <row r="64" spans="2:13">
      <c r="B64" t="s">
        <v>21</v>
      </c>
      <c r="C64" t="str">
        <f>"Diffuser HSC-AD-" &amp;C20&amp;" (neck diameter " &amp;D19&amp;" mm" &amp;D64&amp;")"</f>
        <v>Diffuser HSC-AD-DN500-R0 (neck diameter 500 mm without reducer)</v>
      </c>
      <c r="D64" t="str">
        <f>IF(E19=0," without reducer", " with reducer")</f>
        <v xml:space="preserve"> without reducer</v>
      </c>
    </row>
    <row r="65" spans="1:7">
      <c r="C65" t="str">
        <f>D43</f>
        <v>750 mm diameter circular face</v>
      </c>
    </row>
    <row r="66" spans="1:7">
      <c r="C66" t="str">
        <f>F29</f>
        <v>Manual adjustment</v>
      </c>
    </row>
    <row r="67" spans="1:7">
      <c r="B67" t="s">
        <v>131</v>
      </c>
      <c r="C67" t="str">
        <f>"Powder coated to " &amp; VLOOKUP(C51,C47:E49,3,0)</f>
        <v>Powder coated to RAL9003 (signal white)</v>
      </c>
    </row>
    <row r="69" spans="1:7">
      <c r="A69" s="31" t="s">
        <v>206</v>
      </c>
    </row>
    <row r="70" spans="1:7">
      <c r="B70" t="s">
        <v>198</v>
      </c>
      <c r="C70" t="str">
        <f>IF(C19=0,"please select valid size from 'HSC-AD' worksheet","DN"&amp;D19&amp;"-R"&amp;E19)</f>
        <v>DN500-R0</v>
      </c>
      <c r="D70" t="s">
        <v>347</v>
      </c>
    </row>
    <row r="71" spans="1:7">
      <c r="A71">
        <v>2</v>
      </c>
      <c r="B71" t="str">
        <f>'Equations HSC-AD'!B244</f>
        <v>Max Airflow [L/s]</v>
      </c>
      <c r="C71" s="322">
        <f>HLOOKUP($C$70,'HSC-AD'!$F$39:$O$58,A71,0)</f>
        <v>600</v>
      </c>
      <c r="D71" s="50">
        <f>ROUND(C71,0)</f>
        <v>600</v>
      </c>
    </row>
    <row r="72" spans="1:7">
      <c r="A72">
        <v>3</v>
      </c>
      <c r="B72" t="str">
        <f>'Equations HSC-AD'!B245</f>
        <v>Max Permissible Airflow [L/s]</v>
      </c>
      <c r="C72" s="322">
        <f>HLOOKUP($C$70,'HSC-AD'!$F$39:$O$58,A72,0)</f>
        <v>779.95692188735654</v>
      </c>
      <c r="D72" s="50">
        <f>ROUND(C72,1)</f>
        <v>780</v>
      </c>
    </row>
    <row r="73" spans="1:7">
      <c r="A73">
        <v>4</v>
      </c>
      <c r="B73" t="str">
        <f>'Equations HSC-AD'!B246</f>
        <v>Min Airflow (Turndown To) [L/s]</v>
      </c>
      <c r="C73" s="322">
        <f>HLOOKUP($C$70,'HSC-AD'!$F$39:$O$58,A73,0)</f>
        <v>600</v>
      </c>
      <c r="D73" s="50">
        <f>ROUND(C73,0)</f>
        <v>600</v>
      </c>
    </row>
    <row r="74" spans="1:7">
      <c r="A74">
        <v>5</v>
      </c>
      <c r="B74" t="str">
        <f>'Equations HSC-AD'!B247</f>
        <v>Min Permissible Airflow [L/s]</v>
      </c>
      <c r="C74" s="322">
        <f>HLOOKUP($C$70,'HSC-AD'!$F$39:$O$58,A74,0)</f>
        <v>335</v>
      </c>
      <c r="D74" s="50">
        <f>ROUND(C74,0)</f>
        <v>335</v>
      </c>
    </row>
    <row r="75" spans="1:7">
      <c r="A75">
        <v>6</v>
      </c>
      <c r="B75" t="str">
        <f>'Equations HSC-AD'!B248</f>
        <v>Static Pressure</v>
      </c>
      <c r="C75" s="322">
        <f>HLOOKUP($C$70,'HSC-AD'!$F$39:$O$58,A75,0)</f>
        <v>29.787502270145644</v>
      </c>
      <c r="D75" s="30">
        <f>ROUND(C75,1)</f>
        <v>29.8</v>
      </c>
    </row>
    <row r="76" spans="1:7">
      <c r="A76">
        <v>7</v>
      </c>
      <c r="B76" t="str">
        <f>'Equations HSC-AD'!B249</f>
        <v>Total Pressure</v>
      </c>
      <c r="C76" s="322">
        <f>HLOOKUP($C$70,'HSC-AD'!$F$39:$O$58,A76,0)</f>
        <v>35.506880444388329</v>
      </c>
    </row>
    <row r="77" spans="1:7">
      <c r="A77">
        <v>8</v>
      </c>
      <c r="B77" t="str">
        <f>'Equations HSC-AD'!B250</f>
        <v>Max Permissible P</v>
      </c>
      <c r="C77" s="322">
        <f>HLOOKUP($C$70,'HSC-AD'!$F$39:$O$58,A77,0)</f>
        <v>60</v>
      </c>
      <c r="D77" s="30"/>
    </row>
    <row r="78" spans="1:7">
      <c r="A78">
        <v>9</v>
      </c>
      <c r="B78" t="str">
        <f>'Equations HSC-AD'!B251</f>
        <v>Sound Power Level</v>
      </c>
      <c r="C78" s="322">
        <f>HLOOKUP($C$70,'HSC-AD'!$F$39:$O$58,A78,0)</f>
        <v>45.981391585491394</v>
      </c>
      <c r="D78" s="30">
        <f>ROUND(C78,1)</f>
        <v>46</v>
      </c>
    </row>
    <row r="79" spans="1:7">
      <c r="A79">
        <v>10</v>
      </c>
      <c r="B79" t="str">
        <f>'Equations HSC-AD'!B252</f>
        <v>ΔT_max (heating)</v>
      </c>
      <c r="C79" s="322">
        <f>HLOOKUP($C$70,'HSC-AD'!$F$39:$O$58,A79,0)</f>
        <v>7.0995367910966101</v>
      </c>
      <c r="D79" s="30">
        <f>ROUND(C79,1)</f>
        <v>7.1</v>
      </c>
      <c r="E79" t="s">
        <v>397</v>
      </c>
      <c r="F79">
        <f>HLOOKUP(C19,'Equations HSC-AD'!C236:M238,2,0)</f>
        <v>7.0995367910966101</v>
      </c>
      <c r="G79">
        <f>ROUND(F79,1)</f>
        <v>7.1</v>
      </c>
    </row>
    <row r="80" spans="1:7">
      <c r="A80">
        <v>11</v>
      </c>
      <c r="B80" t="str">
        <f>'Equations HSC-AD'!B253</f>
        <v>T n.s.</v>
      </c>
      <c r="C80" s="322">
        <f>HLOOKUP($C$70,'HSC-AD'!$F$39:$O$58,A80,0)</f>
        <v>16</v>
      </c>
      <c r="E80" t="s">
        <v>398</v>
      </c>
      <c r="F80">
        <f>HLOOKUP(C19,'Equations HSC-AD'!C236:M238,3,0)</f>
        <v>7.8000000000000007</v>
      </c>
      <c r="G80">
        <f>ROUND(F80,0)</f>
        <v>8</v>
      </c>
    </row>
    <row r="81" spans="1:4">
      <c r="A81">
        <v>12</v>
      </c>
      <c r="B81" t="str">
        <f>'Equations HSC-AD'!B254</f>
        <v>Cmax</v>
      </c>
      <c r="C81" s="322">
        <f>HLOOKUP($C$70,'HSC-AD'!$F$39:$O$58,A81,0)</f>
        <v>14.9</v>
      </c>
      <c r="D81" s="30">
        <f>ROUND(C81,1)</f>
        <v>14.9</v>
      </c>
    </row>
    <row r="82" spans="1:4">
      <c r="A82">
        <v>13</v>
      </c>
      <c r="B82" t="str">
        <f>'Equations HSC-AD'!B255</f>
        <v>Cmin</v>
      </c>
      <c r="C82" s="322">
        <f>HLOOKUP($C$70,'HSC-AD'!$F$39:$O$58,A82,0)</f>
        <v>5.5</v>
      </c>
      <c r="D82" s="30">
        <f>ROUND(C82,1)</f>
        <v>5.5</v>
      </c>
    </row>
    <row r="83" spans="1:4">
      <c r="A83">
        <v>14</v>
      </c>
      <c r="B83" t="str">
        <f>'Equations HSC-AD'!B256</f>
        <v>Hmin</v>
      </c>
      <c r="C83" s="322">
        <f>HLOOKUP($C$70,'HSC-AD'!$F$39:$O$58,A83,0)</f>
        <v>4.4000000000000004</v>
      </c>
      <c r="D83" s="30">
        <f>ROUND(C83,2)</f>
        <v>4.4000000000000004</v>
      </c>
    </row>
    <row r="84" spans="1:4">
      <c r="A84">
        <v>15</v>
      </c>
      <c r="B84" t="str">
        <f>'Equations HSC-AD'!B257</f>
        <v>Mean Air Velocity</v>
      </c>
      <c r="C84" s="322">
        <f>HLOOKUP($C$70,'HSC-AD'!$F$39:$O$58,A84,0)</f>
        <v>0.14797008427974329</v>
      </c>
      <c r="D84" s="30">
        <f>ROUND(C84,2)</f>
        <v>0.15</v>
      </c>
    </row>
    <row r="85" spans="1:4">
      <c r="A85">
        <v>16</v>
      </c>
      <c r="B85" t="str">
        <f>'Equations HSC-AD'!B258</f>
        <v>Draft Rating</v>
      </c>
      <c r="C85" s="322">
        <f>HLOOKUP($C$70,'HSC-AD'!$F$39:$O$58,A85,0)</f>
        <v>0.13886550225175667</v>
      </c>
      <c r="D85" s="30">
        <f>ROUND(C85,3)*100</f>
        <v>13.900000000000002</v>
      </c>
    </row>
    <row r="86" spans="1:4">
      <c r="A86">
        <v>17</v>
      </c>
      <c r="B86" t="str">
        <f>'Equations HSC-AD'!B259</f>
        <v>PPD</v>
      </c>
      <c r="C86" s="322">
        <f>HLOOKUP($C$70,'HSC-AD'!$F$39:$O$58,A86,0)</f>
        <v>7.4358189420755477E-2</v>
      </c>
      <c r="D86" s="30">
        <f>ROUND(C86,3)</f>
        <v>7.3999999999999996E-2</v>
      </c>
    </row>
    <row r="87" spans="1:4">
      <c r="A87">
        <v>18</v>
      </c>
      <c r="B87" t="str">
        <f>'Equations HSC-AD'!B260</f>
        <v>PPD Class</v>
      </c>
      <c r="C87" s="322" t="str">
        <f>HLOOKUP($C$70,'HSC-AD'!$F$39:$O$58,A87,0)</f>
        <v>B</v>
      </c>
      <c r="D87" s="30"/>
    </row>
    <row r="88" spans="1:4">
      <c r="A88">
        <v>19</v>
      </c>
      <c r="B88" t="str">
        <f>'Equations HSC-AD'!B261</f>
        <v>PMV</v>
      </c>
      <c r="C88" s="322">
        <f>HLOOKUP($C$70,'HSC-AD'!$F$39:$O$58,A88,0)</f>
        <v>0.34495728576085727</v>
      </c>
      <c r="D88" s="30">
        <f>ROUND(C88,2)</f>
        <v>0.34</v>
      </c>
    </row>
    <row r="89" spans="1:4">
      <c r="A89">
        <v>20</v>
      </c>
      <c r="B89" t="str">
        <f>'Equations HSC-AD'!B262</f>
        <v>T s.</v>
      </c>
      <c r="C89" s="322">
        <f>HLOOKUP($C$70,'HSC-AD'!$F$39:$O$58,A89,0)</f>
        <v>26</v>
      </c>
      <c r="D89" s="30">
        <f>ROUND(C89,1)</f>
        <v>26</v>
      </c>
    </row>
    <row r="90" spans="1:4">
      <c r="C90" s="322"/>
      <c r="D90" s="30"/>
    </row>
    <row r="91" spans="1:4">
      <c r="B91" t="s">
        <v>124</v>
      </c>
      <c r="C91">
        <f>'HSC-AD'!E17</f>
        <v>-12</v>
      </c>
    </row>
    <row r="92" spans="1:4">
      <c r="B92" s="31" t="s">
        <v>200</v>
      </c>
      <c r="C92">
        <f>IF('Equations HSC-AD'!C61=1,'Equations HSC-AD'!C209,IF('Equations HSC-AD'!C61=2,'Equations HSC-AD'!C62,IF('Equations HSC-AD'!C61=3,'Equations HSC-AD'!C64)))</f>
        <v>10.05929664298667</v>
      </c>
    </row>
    <row r="93" spans="1:4">
      <c r="B93" t="s">
        <v>362</v>
      </c>
      <c r="C93" s="30">
        <f>ROUND('Equations HSC-AD'!C199,1)</f>
        <v>5.9</v>
      </c>
      <c r="D93" t="str">
        <f>'Equations HSC-AD'!G3</f>
        <v>L/s/m²</v>
      </c>
    </row>
    <row r="94" spans="1:4">
      <c r="B94" t="s">
        <v>363</v>
      </c>
      <c r="C94" s="30">
        <f>'HSC-AD'!E15</f>
        <v>6</v>
      </c>
    </row>
    <row r="95" spans="1:4">
      <c r="B95" t="s">
        <v>396</v>
      </c>
      <c r="C95">
        <f>'HSC-AD'!L23</f>
        <v>23</v>
      </c>
    </row>
    <row r="96" spans="1:4">
      <c r="B96" t="s">
        <v>400</v>
      </c>
      <c r="C96">
        <f>'HSC-AD'!L21</f>
        <v>4</v>
      </c>
    </row>
    <row r="98" spans="2:4">
      <c r="B98" t="s">
        <v>346</v>
      </c>
      <c r="C98" s="52" t="str">
        <f>D71 &amp; " L/s @ " &amp;D75 &amp;" Pa static"</f>
        <v>600 L/s @ 29.8 Pa static</v>
      </c>
    </row>
    <row r="99" spans="2:4">
      <c r="B99" t="s">
        <v>348</v>
      </c>
      <c r="C99" s="30" t="str">
        <f>D74 &amp;" L/s @ ΔT = " &amp;C91&amp; " K"</f>
        <v>335 L/s @ ΔT = -12 K</v>
      </c>
    </row>
    <row r="100" spans="2:4">
      <c r="B100" t="s">
        <v>349</v>
      </c>
      <c r="C100" s="30" t="str">
        <f>"+ "&amp;G79&amp;" K"</f>
        <v>+ 7.1 K</v>
      </c>
    </row>
    <row r="101" spans="2:4">
      <c r="B101" t="s">
        <v>350</v>
      </c>
      <c r="C101" t="str">
        <f>"T"&amp;D89</f>
        <v>T26</v>
      </c>
    </row>
    <row r="102" spans="2:4">
      <c r="B102" t="s">
        <v>399</v>
      </c>
      <c r="C102">
        <f>G80</f>
        <v>8</v>
      </c>
      <c r="D102" s="239"/>
    </row>
    <row r="103" spans="2:4">
      <c r="D103" s="239"/>
    </row>
    <row r="104" spans="2:4">
      <c r="B104" t="s">
        <v>136</v>
      </c>
      <c r="D104" s="239"/>
    </row>
    <row r="105" spans="2:4">
      <c r="B105" t="s">
        <v>402</v>
      </c>
      <c r="C105" t="str">
        <f>IF('Equations HSC-AD'!C25,"Manually set guide ring","Manual Adjustment selected")</f>
        <v>Manual Adjustment selected</v>
      </c>
      <c r="D105" s="239"/>
    </row>
    <row r="106" spans="2:4">
      <c r="C106" t="str">
        <f>C102&amp;" mm recessed from face"</f>
        <v>8 mm recessed from face</v>
      </c>
      <c r="D106" s="239"/>
    </row>
    <row r="107" spans="2:4">
      <c r="C107" t="str">
        <f>"for heating at ΔT = +" &amp;C96&amp; " K"</f>
        <v>for heating at ΔT = +4 K</v>
      </c>
      <c r="D107" s="239"/>
    </row>
    <row r="108" spans="2:4">
      <c r="B108" t="s">
        <v>401</v>
      </c>
      <c r="C108" t="str">
        <f>IF(C29=1,C105, "Thermal Element Setting")</f>
        <v>Manual Adjustment selected</v>
      </c>
      <c r="D108" s="239"/>
    </row>
    <row r="109" spans="2:4">
      <c r="C109" t="str">
        <f>IF('Equations HSC-AD'!C25,IF(C29=1,C106,C101),"")</f>
        <v/>
      </c>
      <c r="D109" s="239"/>
    </row>
    <row r="110" spans="2:4">
      <c r="C110" t="str">
        <f>IF('Equations HSC-AD'!C25,IF(C29=1,C107,""),"")</f>
        <v/>
      </c>
      <c r="D110" s="239"/>
    </row>
    <row r="111" spans="2:4">
      <c r="D111" s="239"/>
    </row>
    <row r="112" spans="2:4">
      <c r="B112" t="s">
        <v>355</v>
      </c>
      <c r="C112" t="str">
        <f>D78 &amp; " dB(A)"</f>
        <v>46 dB(A)</v>
      </c>
    </row>
    <row r="114" spans="1:4">
      <c r="A114" s="31" t="s">
        <v>199</v>
      </c>
    </row>
    <row r="115" spans="1:4">
      <c r="A115" s="31"/>
      <c r="B115" t="str">
        <f>"Min Recommended Diffuser Height = "&amp;D83&amp; " m"</f>
        <v>Min Recommended Diffuser Height = 4.4 m</v>
      </c>
    </row>
    <row r="116" spans="1:4">
      <c r="A116" s="31"/>
      <c r="B116" t="str">
        <f>"Selected Diffuser Height = "&amp;C94&amp; " m"</f>
        <v>Selected Diffuser Height = 6 m</v>
      </c>
    </row>
    <row r="117" spans="1:4">
      <c r="B117" t="s">
        <v>356</v>
      </c>
      <c r="C117" t="s">
        <v>47</v>
      </c>
    </row>
    <row r="118" spans="1:4">
      <c r="B118" s="30">
        <f>ROUND(D82,1)</f>
        <v>5.5</v>
      </c>
      <c r="C118" s="30">
        <f>ROUND(D81,1)</f>
        <v>14.9</v>
      </c>
    </row>
    <row r="120" spans="1:4">
      <c r="B120" t="str">
        <f>"C Max = "&amp;C118&amp;" m"</f>
        <v>C Max = 14.9 m</v>
      </c>
    </row>
    <row r="121" spans="1:4">
      <c r="B121" t="str">
        <f>"C Min = "&amp;B118&amp;" m"</f>
        <v>C Min = 5.5 m</v>
      </c>
    </row>
    <row r="122" spans="1:4">
      <c r="B122" t="str">
        <f>IF('Equations HSC-AD'!C61=1,"Average",IF('Equations HSC-AD'!C61=2,"Selected",IF('Equations HSC-AD'!C61=3,"Nominal")))</f>
        <v>Average</v>
      </c>
    </row>
    <row r="123" spans="1:4">
      <c r="A123" t="s">
        <v>357</v>
      </c>
      <c r="B123">
        <f>ROUND(C92,1)</f>
        <v>10.1</v>
      </c>
    </row>
    <row r="124" spans="1:4">
      <c r="B124" t="str">
        <f>B122&amp; " C = "&amp;B123 &amp; " m"</f>
        <v>Average C = 10.1 m</v>
      </c>
    </row>
    <row r="126" spans="1:4">
      <c r="A126" t="s">
        <v>358</v>
      </c>
      <c r="B126" t="str">
        <f>IF('Equations HSC-AD'!$C$61=3,"",B120)</f>
        <v>C Max = 14.9 m</v>
      </c>
      <c r="C126">
        <v>1</v>
      </c>
      <c r="D126" t="str">
        <f>"Specific Airflow Rate @ Average C = "&amp;B123&amp;" m: "&amp;$C$93&amp;" "&amp;$D$93</f>
        <v>Specific Airflow Rate @ Average C = 10.1 m: 5.9 L/s/m²</v>
      </c>
    </row>
    <row r="127" spans="1:4">
      <c r="A127" t="s">
        <v>359</v>
      </c>
      <c r="B127" t="str">
        <f>IF('Equations HSC-AD'!$C$61=3,B120,B121)</f>
        <v>C Min = 5.5 m</v>
      </c>
      <c r="C127">
        <v>2</v>
      </c>
      <c r="D127" t="str">
        <f>"Specific Airflow Rate @ Selected C = "&amp;B123&amp;" m: "&amp;$C$93&amp;" "&amp;$D$93</f>
        <v>Specific Airflow Rate @ Selected C = 10.1 m: 5.9 L/s/m²</v>
      </c>
    </row>
    <row r="128" spans="1:4">
      <c r="A128" t="s">
        <v>360</v>
      </c>
      <c r="B128" t="str">
        <f>IF('Equations HSC-AD'!$C$61=3,B121,B124)</f>
        <v>Average C = 10.1 m</v>
      </c>
      <c r="C128">
        <v>3</v>
      </c>
      <c r="D128" t="str">
        <f>"Selected Specific Airflow Rate: "&amp;C93&amp;" "&amp;D93</f>
        <v>Selected Specific Airflow Rate: 5.9 L/s/m²</v>
      </c>
    </row>
    <row r="129" spans="1:6">
      <c r="A129" t="s">
        <v>361</v>
      </c>
      <c r="B129" t="str">
        <f>VLOOKUP('Equations HSC-AD'!$C$61,C126:D128,2,0)</f>
        <v>Specific Airflow Rate @ Average C = 10.1 m: 5.9 L/s/m²</v>
      </c>
    </row>
    <row r="131" spans="1:6">
      <c r="A131" s="316" t="s">
        <v>194</v>
      </c>
      <c r="B131" s="239"/>
      <c r="C131" s="239"/>
      <c r="D131" s="316"/>
      <c r="E131" s="239"/>
      <c r="F131" s="239"/>
    </row>
    <row r="132" spans="1:6">
      <c r="A132" s="239" t="s">
        <v>79</v>
      </c>
      <c r="B132" s="320" t="str">
        <f>"&gt; " &amp; 'HSC-AD'!L9*100  &amp; "%"</f>
        <v>&gt; 90%</v>
      </c>
      <c r="D132" s="239"/>
      <c r="E132" s="239"/>
      <c r="F132" s="239"/>
    </row>
    <row r="133" spans="1:6">
      <c r="A133" s="239" t="s">
        <v>195</v>
      </c>
      <c r="B133" s="239" t="str">
        <f>'HSC-AD data'!D84 &amp; " m/s"</f>
        <v>0.15 m/s</v>
      </c>
      <c r="D133" s="239"/>
      <c r="E133" s="239"/>
      <c r="F133" s="239"/>
    </row>
    <row r="134" spans="1:6">
      <c r="A134" s="239" t="str">
        <f>"Mean Draught Rating @ "&amp;'HSC-AD'!L23&amp;" °C"</f>
        <v>Mean Draught Rating @ 23 °C</v>
      </c>
      <c r="B134" s="313" t="str">
        <f>'HSC-AD data'!D85&amp;"% @ room temp. of " &amp;C95&amp;"ºC"</f>
        <v>13.9% @ room temp. of 23ºC</v>
      </c>
      <c r="D134" s="239"/>
      <c r="E134" s="239"/>
      <c r="F134" s="239"/>
    </row>
    <row r="135" spans="1:6">
      <c r="A135" s="239" t="s">
        <v>82</v>
      </c>
      <c r="B135" s="321" t="str">
        <f>"&lt; " &amp; 'HSC-AD data'!D86*100 &amp;" %"</f>
        <v>&lt; 7.4 %</v>
      </c>
      <c r="D135" s="239"/>
      <c r="E135" s="239"/>
      <c r="F135" s="239"/>
    </row>
    <row r="136" spans="1:6">
      <c r="A136" s="239" t="s">
        <v>196</v>
      </c>
      <c r="B136" s="240" t="str">
        <f>"Category " &amp;'HSC-AD data'!C87</f>
        <v>Category B</v>
      </c>
      <c r="D136" s="239"/>
      <c r="E136" s="239"/>
      <c r="F136" s="239"/>
    </row>
    <row r="137" spans="1:6" ht="14.35" customHeight="1">
      <c r="A137" s="239" t="s">
        <v>345</v>
      </c>
      <c r="B137" s="339">
        <f>D88</f>
        <v>0.34</v>
      </c>
      <c r="D137" s="239"/>
      <c r="E137" s="239"/>
      <c r="F137" s="239"/>
    </row>
    <row r="138" spans="1:6" ht="14.35" customHeight="1"/>
    <row r="139" spans="1:6" ht="14.35" customHeight="1"/>
    <row r="140" spans="1:6" ht="14.35" customHeight="1"/>
    <row r="141" spans="1:6" ht="14.35" customHeight="1">
      <c r="A141" t="s">
        <v>205</v>
      </c>
      <c r="B141" t="str">
        <f>LEFT(F29,1)</f>
        <v>M</v>
      </c>
    </row>
    <row r="142" spans="1:6" ht="14.35" customHeight="1"/>
  </sheetData>
  <phoneticPr fontId="82" type="noConversion"/>
  <pageMargins left="0.7" right="0.7" top="0.75" bottom="0.75" header="0.3" footer="0.3"/>
  <pageSetup paperSize="9" orientation="portrait" horizontalDpi="4294967293" verticalDpi="4294967293"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79998168889431442"/>
  </sheetPr>
  <dimension ref="A1:G49"/>
  <sheetViews>
    <sheetView view="pageLayout" zoomScaleNormal="100" workbookViewId="0">
      <selection activeCell="B3" sqref="B3:F3"/>
    </sheetView>
  </sheetViews>
  <sheetFormatPr defaultColWidth="9.06640625" defaultRowHeight="14.25"/>
  <cols>
    <col min="1" max="1" width="22.46484375" customWidth="1"/>
    <col min="2" max="3" width="10.06640625" customWidth="1"/>
    <col min="4" max="4" width="21.53125" customWidth="1"/>
    <col min="5" max="5" width="10.06640625" customWidth="1"/>
    <col min="6" max="6" width="7.6640625" customWidth="1"/>
    <col min="7" max="7" width="6.59765625" customWidth="1"/>
  </cols>
  <sheetData>
    <row r="1" spans="1:7" ht="33" customHeight="1">
      <c r="A1" s="237"/>
      <c r="B1" s="326" t="s">
        <v>214</v>
      </c>
      <c r="C1" s="326"/>
      <c r="D1" s="326"/>
      <c r="E1" s="326"/>
      <c r="F1" s="326"/>
      <c r="G1" s="326"/>
    </row>
    <row r="2" spans="1:7" ht="14.2" customHeight="1">
      <c r="A2" s="238"/>
      <c r="B2" s="238"/>
      <c r="C2" s="238"/>
      <c r="D2" s="238"/>
      <c r="E2" s="238"/>
      <c r="F2" s="238"/>
      <c r="G2" s="238"/>
    </row>
    <row r="3" spans="1:7" ht="14.2" customHeight="1">
      <c r="A3" s="311" t="s">
        <v>187</v>
      </c>
      <c r="B3" s="359" t="str">
        <f>'HSC-AD'!D5</f>
        <v>&lt;Project Name&gt;</v>
      </c>
      <c r="C3" s="359"/>
      <c r="D3" s="359"/>
      <c r="E3" s="359"/>
      <c r="F3" s="359"/>
      <c r="G3" s="327"/>
    </row>
    <row r="4" spans="1:7" ht="14.2" customHeight="1">
      <c r="A4" s="311" t="s">
        <v>188</v>
      </c>
      <c r="B4" s="360" t="s">
        <v>190</v>
      </c>
      <c r="C4" s="360"/>
      <c r="D4" s="360"/>
      <c r="E4" s="360"/>
      <c r="F4" s="360"/>
      <c r="G4" s="327"/>
    </row>
    <row r="5" spans="1:7" ht="14.2" customHeight="1">
      <c r="A5" s="311" t="s">
        <v>189</v>
      </c>
      <c r="B5" s="360" t="s">
        <v>190</v>
      </c>
      <c r="C5" s="360"/>
      <c r="D5" s="360"/>
      <c r="E5" s="360"/>
      <c r="F5" s="360"/>
      <c r="G5" s="327"/>
    </row>
    <row r="6" spans="1:7" ht="14.2" customHeight="1">
      <c r="A6" s="239"/>
      <c r="B6" s="239"/>
      <c r="C6" s="239"/>
      <c r="D6" s="239"/>
      <c r="E6" s="239"/>
      <c r="F6" s="239"/>
      <c r="G6" s="239"/>
    </row>
    <row r="7" spans="1:7" ht="14.2" customHeight="1">
      <c r="A7" s="311" t="s">
        <v>191</v>
      </c>
      <c r="B7" s="239" t="s">
        <v>215</v>
      </c>
      <c r="C7" s="239"/>
      <c r="D7" s="239"/>
      <c r="E7" s="239"/>
      <c r="F7" s="239"/>
      <c r="G7" s="239"/>
    </row>
    <row r="8" spans="1:7" ht="14.2" customHeight="1">
      <c r="A8" s="311"/>
      <c r="B8" s="312" t="s">
        <v>216</v>
      </c>
      <c r="C8" s="239"/>
      <c r="D8" s="239"/>
      <c r="E8" s="239"/>
      <c r="F8" s="239"/>
      <c r="G8" s="239"/>
    </row>
    <row r="9" spans="1:7" ht="14.2" customHeight="1">
      <c r="A9" s="239" t="s">
        <v>21</v>
      </c>
      <c r="B9" s="313" t="str">
        <f>'HSC-AD data'!C70</f>
        <v>DN500-R0</v>
      </c>
      <c r="C9" s="239"/>
      <c r="D9" s="239"/>
      <c r="E9" s="239"/>
      <c r="F9" s="239"/>
      <c r="G9" s="239"/>
    </row>
    <row r="10" spans="1:7" ht="14.2" customHeight="1">
      <c r="A10" s="239" t="s">
        <v>201</v>
      </c>
      <c r="B10" s="314" t="str">
        <f>VLOOKUP('HSC-AD data'!C29,'HSC-AD data'!C23:G27,4,0)</f>
        <v>Manual adjustment</v>
      </c>
      <c r="C10" s="315"/>
      <c r="D10" s="315"/>
      <c r="E10" s="239"/>
      <c r="F10" s="239"/>
      <c r="G10" s="239"/>
    </row>
    <row r="11" spans="1:7" ht="14.2" customHeight="1">
      <c r="A11" s="239"/>
      <c r="B11" s="239"/>
      <c r="C11" s="239"/>
      <c r="D11" s="239"/>
      <c r="E11" s="239"/>
      <c r="F11" s="239"/>
      <c r="G11" s="239"/>
    </row>
    <row r="12" spans="1:7" ht="14.2" customHeight="1">
      <c r="A12" s="239"/>
      <c r="B12" s="239"/>
      <c r="C12" s="239"/>
      <c r="D12" s="239"/>
      <c r="E12" s="239"/>
      <c r="F12" s="239"/>
      <c r="G12" s="239"/>
    </row>
    <row r="13" spans="1:7" ht="14.2" customHeight="1">
      <c r="A13" s="316" t="s">
        <v>192</v>
      </c>
      <c r="B13" s="317"/>
      <c r="C13" s="239"/>
      <c r="D13" s="316" t="s">
        <v>364</v>
      </c>
      <c r="F13" s="239"/>
      <c r="G13" s="239"/>
    </row>
    <row r="14" spans="1:7" ht="14.2" customHeight="1">
      <c r="A14" s="239" t="s">
        <v>213</v>
      </c>
      <c r="B14" s="313" t="str">
        <f>'HSC-AD data'!C98</f>
        <v>600 L/s @ 29.8 Pa static</v>
      </c>
      <c r="C14" s="239"/>
      <c r="D14" s="239" t="str">
        <f>'HSC-AD data'!C108</f>
        <v>Manual Adjustment selected</v>
      </c>
      <c r="E14" s="341" t="str">
        <f>'HSC-AD data'!C109</f>
        <v/>
      </c>
      <c r="F14" s="341"/>
      <c r="G14" s="239"/>
    </row>
    <row r="15" spans="1:7" ht="14.2" customHeight="1">
      <c r="A15" s="239" t="s">
        <v>348</v>
      </c>
      <c r="B15" s="313" t="str">
        <f>'HSC-AD data'!C99</f>
        <v>335 L/s @ ΔT = -12 K</v>
      </c>
      <c r="C15" s="318"/>
      <c r="D15" s="318"/>
      <c r="E15" s="341" t="str">
        <f>'HSC-AD data'!C110</f>
        <v/>
      </c>
      <c r="F15" s="341"/>
      <c r="G15" s="239"/>
    </row>
    <row r="16" spans="1:7" ht="14.2" customHeight="1">
      <c r="A16" s="239" t="s">
        <v>351</v>
      </c>
      <c r="B16" s="313" t="str">
        <f>'HSC-AD data'!C100</f>
        <v>+ 7.1 K</v>
      </c>
      <c r="C16" s="239"/>
      <c r="E16" s="341"/>
      <c r="F16" s="341"/>
      <c r="G16" s="239"/>
    </row>
    <row r="17" spans="1:7" ht="14.2" customHeight="1">
      <c r="C17" s="239"/>
      <c r="F17" s="313"/>
      <c r="G17" s="239"/>
    </row>
    <row r="18" spans="1:7" ht="14.2" customHeight="1">
      <c r="A18" s="316" t="s">
        <v>193</v>
      </c>
      <c r="B18" s="239"/>
      <c r="C18" s="239"/>
      <c r="D18" s="239"/>
      <c r="E18" s="239"/>
      <c r="F18" s="313"/>
      <c r="G18" s="239"/>
    </row>
    <row r="19" spans="1:7" ht="14.2" customHeight="1">
      <c r="A19" s="239" t="s">
        <v>45</v>
      </c>
      <c r="B19" s="313" t="str">
        <f>'HSC-AD data'!C112</f>
        <v>46 dB(A)</v>
      </c>
      <c r="C19" s="239"/>
      <c r="D19" s="312"/>
    </row>
    <row r="20" spans="1:7" ht="14.2" customHeight="1">
      <c r="C20" s="239"/>
      <c r="D20" s="239"/>
      <c r="E20" s="239"/>
      <c r="F20" s="319"/>
      <c r="G20" s="239"/>
    </row>
    <row r="21" spans="1:7" ht="14.2" customHeight="1">
      <c r="A21" s="239"/>
      <c r="B21" s="313"/>
      <c r="C21" s="239"/>
      <c r="D21" s="239"/>
      <c r="E21" s="239"/>
      <c r="F21" s="239"/>
      <c r="G21" s="239"/>
    </row>
    <row r="22" spans="1:7" ht="14.2" customHeight="1">
      <c r="A22" s="239"/>
      <c r="B22" s="313"/>
      <c r="C22" s="239"/>
      <c r="D22" s="239"/>
      <c r="E22" s="239"/>
      <c r="F22" s="239"/>
      <c r="G22" s="239"/>
    </row>
    <row r="23" spans="1:7" ht="14.2" customHeight="1">
      <c r="A23" s="239"/>
      <c r="B23" s="313"/>
      <c r="C23" s="239"/>
      <c r="D23" s="239"/>
      <c r="E23" s="239"/>
      <c r="F23" s="239"/>
      <c r="G23" s="239"/>
    </row>
    <row r="24" spans="1:7" ht="14.2" customHeight="1">
      <c r="A24" s="239"/>
      <c r="B24" s="313"/>
      <c r="C24" s="239"/>
      <c r="D24" s="239"/>
      <c r="E24" s="239"/>
      <c r="F24" s="239"/>
      <c r="G24" s="239"/>
    </row>
    <row r="25" spans="1:7" ht="14.2" customHeight="1">
      <c r="A25" s="239"/>
      <c r="B25" s="239"/>
      <c r="C25" s="239"/>
      <c r="D25" s="239"/>
      <c r="E25" s="239"/>
      <c r="F25" s="239"/>
      <c r="G25" s="239"/>
    </row>
    <row r="26" spans="1:7" ht="14.2" customHeight="1">
      <c r="A26" s="316" t="s">
        <v>365</v>
      </c>
      <c r="D26" s="239"/>
      <c r="E26" s="239"/>
      <c r="F26" s="239"/>
      <c r="G26" s="239"/>
    </row>
    <row r="27" spans="1:7" ht="14.2" customHeight="1">
      <c r="A27" s="239" t="s">
        <v>79</v>
      </c>
      <c r="B27" s="324" t="str">
        <f>'HSC-AD data'!B132</f>
        <v>&gt; 90%</v>
      </c>
      <c r="D27" s="239"/>
      <c r="E27" s="239"/>
      <c r="F27" s="239"/>
      <c r="G27" s="239"/>
    </row>
    <row r="28" spans="1:7" ht="14.2" customHeight="1">
      <c r="A28" s="239" t="s">
        <v>195</v>
      </c>
      <c r="B28" s="324" t="str">
        <f>'HSC-AD data'!B133</f>
        <v>0.15 m/s</v>
      </c>
      <c r="D28" s="239"/>
      <c r="E28" s="239"/>
      <c r="F28" s="239"/>
      <c r="G28" s="239"/>
    </row>
    <row r="29" spans="1:7" ht="14.2" customHeight="1">
      <c r="A29" s="239" t="s">
        <v>352</v>
      </c>
      <c r="B29" s="324" t="str">
        <f>'HSC-AD data'!B134</f>
        <v>13.9% @ room temp. of 23ºC</v>
      </c>
      <c r="D29" s="239"/>
      <c r="E29" s="239"/>
      <c r="F29" s="239"/>
      <c r="G29" s="239"/>
    </row>
    <row r="30" spans="1:7" ht="14.2" customHeight="1">
      <c r="A30" s="239" t="s">
        <v>82</v>
      </c>
      <c r="B30" s="324" t="str">
        <f>'HSC-AD data'!B135</f>
        <v>&lt; 7.4 %</v>
      </c>
      <c r="D30" s="239"/>
      <c r="E30" s="239"/>
      <c r="F30" s="239"/>
      <c r="G30" s="239"/>
    </row>
    <row r="31" spans="1:7" ht="14.2" customHeight="1">
      <c r="A31" s="239" t="s">
        <v>196</v>
      </c>
      <c r="B31" s="324" t="str">
        <f>'HSC-AD data'!B136</f>
        <v>Category B</v>
      </c>
      <c r="D31" s="239"/>
      <c r="E31" s="239"/>
      <c r="F31" s="239"/>
      <c r="G31" s="239"/>
    </row>
    <row r="32" spans="1:7" ht="14.2" customHeight="1">
      <c r="A32" s="239" t="s">
        <v>353</v>
      </c>
      <c r="B32" s="340">
        <f>'HSC-AD data'!B137</f>
        <v>0.34</v>
      </c>
      <c r="D32" s="239"/>
      <c r="E32" s="239"/>
      <c r="F32" s="239"/>
      <c r="G32" s="239"/>
    </row>
    <row r="33" spans="1:7" ht="14.2" customHeight="1">
      <c r="A33" s="323" t="s">
        <v>354</v>
      </c>
      <c r="B33" s="239"/>
      <c r="C33" s="239"/>
      <c r="D33" s="239"/>
      <c r="E33" s="239"/>
      <c r="F33" s="239"/>
      <c r="G33" s="239"/>
    </row>
    <row r="34" spans="1:7" ht="14.2" customHeight="1">
      <c r="A34" s="239"/>
      <c r="B34" s="239"/>
      <c r="C34" s="239"/>
      <c r="D34" s="239"/>
      <c r="E34" s="239"/>
      <c r="F34" s="239"/>
      <c r="G34" s="239"/>
    </row>
    <row r="35" spans="1:7" ht="14.2" customHeight="1">
      <c r="A35" s="239"/>
      <c r="B35" s="239"/>
      <c r="C35" s="239"/>
      <c r="D35" s="239"/>
      <c r="E35" s="239"/>
      <c r="F35" s="239"/>
      <c r="G35" s="239"/>
    </row>
    <row r="36" spans="1:7" ht="14.2" customHeight="1">
      <c r="A36" s="318"/>
      <c r="B36" s="318"/>
      <c r="C36" s="239"/>
      <c r="D36" s="239"/>
      <c r="E36" s="239"/>
      <c r="F36" s="239"/>
      <c r="G36" s="239"/>
    </row>
    <row r="37" spans="1:7" ht="14.2" customHeight="1">
      <c r="A37" s="239"/>
      <c r="B37" s="239"/>
      <c r="C37" s="239"/>
      <c r="D37" s="239"/>
      <c r="E37" s="239"/>
      <c r="F37" s="239"/>
      <c r="G37" s="239"/>
    </row>
    <row r="38" spans="1:7" ht="14.2" customHeight="1">
      <c r="C38" s="239"/>
      <c r="D38" s="239"/>
      <c r="E38" s="239"/>
      <c r="F38" s="239"/>
      <c r="G38" s="239"/>
    </row>
    <row r="39" spans="1:7" ht="14.2" customHeight="1">
      <c r="C39" s="325"/>
      <c r="D39" s="325"/>
      <c r="E39" s="325"/>
      <c r="F39" s="325"/>
      <c r="G39" s="325"/>
    </row>
    <row r="40" spans="1:7" ht="14.2" customHeight="1">
      <c r="C40" s="239"/>
      <c r="D40" s="239"/>
      <c r="E40" s="239"/>
      <c r="F40" s="239"/>
      <c r="G40" s="239"/>
    </row>
    <row r="41" spans="1:7" ht="14.2" customHeight="1">
      <c r="E41" s="239"/>
      <c r="F41" s="239"/>
      <c r="G41" s="239"/>
    </row>
    <row r="42" spans="1:7" ht="14.2" customHeight="1">
      <c r="C42" s="238"/>
      <c r="D42" s="238"/>
      <c r="E42" s="238"/>
      <c r="F42" s="238"/>
      <c r="G42" s="238"/>
    </row>
    <row r="43" spans="1:7" ht="14.2" customHeight="1">
      <c r="A43" s="311" t="s">
        <v>173</v>
      </c>
      <c r="B43" s="312" t="str">
        <f>'HSC-AD data'!C64</f>
        <v>Diffuser HSC-AD-DN500-R0 (neck diameter 500 mm without reducer)</v>
      </c>
      <c r="C43" s="217"/>
      <c r="D43" s="217"/>
      <c r="E43" s="217"/>
      <c r="F43" s="217"/>
      <c r="G43" s="217"/>
    </row>
    <row r="44" spans="1:7" ht="14.2" customHeight="1">
      <c r="A44" s="239"/>
      <c r="B44" s="312" t="str">
        <f>'HSC-AD data'!C65</f>
        <v>750 mm diameter circular face</v>
      </c>
      <c r="C44" s="217"/>
      <c r="D44" s="217"/>
      <c r="E44" s="217"/>
      <c r="F44" s="217"/>
      <c r="G44" s="217"/>
    </row>
    <row r="45" spans="1:7" ht="14.2" customHeight="1">
      <c r="A45" s="239"/>
      <c r="B45" s="312" t="str">
        <f>'HSC-AD data'!C66</f>
        <v>Manual adjustment</v>
      </c>
      <c r="C45" s="217"/>
      <c r="D45" s="217"/>
      <c r="E45" s="217"/>
      <c r="F45" s="217"/>
      <c r="G45" s="217"/>
    </row>
    <row r="46" spans="1:7" ht="14.2" customHeight="1">
      <c r="A46" s="217"/>
      <c r="B46" s="312" t="str">
        <f>'HSC-AD data'!C67</f>
        <v>Powder coated to RAL9003 (signal white)</v>
      </c>
      <c r="C46" s="217"/>
      <c r="D46" s="217"/>
      <c r="E46" s="217"/>
      <c r="F46" s="217"/>
      <c r="G46" s="217"/>
    </row>
    <row r="47" spans="1:7" ht="15.75">
      <c r="A47" s="217"/>
      <c r="B47" s="217"/>
      <c r="C47" s="217"/>
      <c r="D47" s="217"/>
      <c r="E47" s="217"/>
      <c r="F47" s="217"/>
      <c r="G47" s="217"/>
    </row>
    <row r="48" spans="1:7" ht="15.75">
      <c r="A48" s="311" t="s">
        <v>132</v>
      </c>
      <c r="B48" s="239" t="str">
        <f>'HSC-AD data'!D53</f>
        <v>SMARTEMP HSC-AD-DN500-R0-C750-M-RAL9003</v>
      </c>
      <c r="C48" s="239"/>
      <c r="D48" s="239"/>
      <c r="E48" s="217"/>
      <c r="F48" s="217"/>
      <c r="G48" s="217"/>
    </row>
    <row r="49" spans="4:7" ht="15.75">
      <c r="D49" s="217"/>
      <c r="E49" s="217"/>
      <c r="F49" s="217"/>
      <c r="G49" s="217"/>
    </row>
  </sheetData>
  <sheetProtection algorithmName="SHA-512" hashValue="kvct/Kltm+5slECYy8EY+9CzaxC2izm7DvTbajvA+PGtfAg8EVQ/WFoRfWvPaolX/+FvsBjOmVLFBAWH73wnBg==" saltValue="jj0UXvDgBvPtDtijevvz2w==" spinCount="100000" sheet="1" selectLockedCells="1"/>
  <mergeCells count="3">
    <mergeCell ref="B3:F3"/>
    <mergeCell ref="B4:F4"/>
    <mergeCell ref="B5:F5"/>
  </mergeCells>
  <conditionalFormatting sqref="B9">
    <cfRule type="expression" dxfId="0" priority="1">
      <formula>LEFT($B$9,1)="p"</formula>
    </cfRule>
  </conditionalFormatting>
  <pageMargins left="0.7" right="0.7" top="0.75" bottom="0.75" header="0.3" footer="0.3"/>
  <pageSetup paperSize="9" orientation="portrait" horizontalDpi="1200" verticalDpi="1200" r:id="rId1"/>
  <headerFooter>
    <oddFooter>&amp;R&amp;10&amp;K01+031© 2019 SMARTAIR DIFFUSION</oddFooter>
  </headerFooter>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BD940-9394-45C5-821A-AF2EEEEFD6B7}">
  <dimension ref="A1"/>
  <sheetViews>
    <sheetView workbookViewId="0">
      <selection activeCell="H10" sqref="H10"/>
    </sheetView>
  </sheetViews>
  <sheetFormatPr defaultRowHeight="14.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5</vt:i4>
      </vt:variant>
    </vt:vector>
  </HeadingPairs>
  <TitlesOfParts>
    <vt:vector size="14" baseType="lpstr">
      <vt:lpstr>HSC-AD</vt:lpstr>
      <vt:lpstr>Equations HSC-AD</vt:lpstr>
      <vt:lpstr>Acoustic_Tool</vt:lpstr>
      <vt:lpstr>Charts</vt:lpstr>
      <vt:lpstr>Notes &amp; Drawings</vt:lpstr>
      <vt:lpstr>HSC-AD data diagrams</vt:lpstr>
      <vt:lpstr>HSC-AD data</vt:lpstr>
      <vt:lpstr>Print Summary</vt:lpstr>
      <vt:lpstr>Tender Text</vt:lpstr>
      <vt:lpstr>adpi.</vt:lpstr>
      <vt:lpstr>face250</vt:lpstr>
      <vt:lpstr>face355</vt:lpstr>
      <vt:lpstr>face500</vt:lpstr>
      <vt:lpstr>size.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 Tran</dc:creator>
  <cp:lastModifiedBy>Peter Tran</cp:lastModifiedBy>
  <cp:lastPrinted>2019-07-17T07:36:21Z</cp:lastPrinted>
  <dcterms:created xsi:type="dcterms:W3CDTF">2017-04-03T05:28:18Z</dcterms:created>
  <dcterms:modified xsi:type="dcterms:W3CDTF">2019-08-01T02:46:50Z</dcterms:modified>
</cp:coreProperties>
</file>